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drawings/drawing2.xml" ContentType="application/vnd.openxmlformats-officedocument.drawing+xml"/>
  <Override PartName="/xl/charts/chart2.xml" ContentType="application/vnd.openxmlformats-officedocument.drawingml.chart+xml"/>
  <Override PartName="/xl/drawings/drawing3.xml" ContentType="application/vnd.openxmlformats-officedocument.drawing+xml"/>
  <Override PartName="/xl/charts/chart3.xml" ContentType="application/vnd.openxmlformats-officedocument.drawingml.chart+xml"/>
  <Override PartName="/xl/drawings/drawing4.xml" ContentType="application/vnd.openxmlformats-officedocument.drawing+xml"/>
  <Override PartName="/xl/charts/chart4.xml" ContentType="application/vnd.openxmlformats-officedocument.drawingml.chart+xml"/>
  <Override PartName="/xl/drawings/drawing5.xml" ContentType="application/vnd.openxmlformats-officedocument.drawing+xml"/>
  <Override PartName="/xl/charts/chart5.xml" ContentType="application/vnd.openxmlformats-officedocument.drawingml.chart+xml"/>
  <Override PartName="/xl/charts/chart6.xml" ContentType="application/vnd.openxmlformats-officedocument.drawingml.chart+xml"/>
  <Override PartName="/xl/charts/style1.xml" ContentType="application/vnd.ms-office.chartstyle+xml"/>
  <Override PartName="/xl/charts/colors1.xml" ContentType="application/vnd.ms-office.chartcolorstyle+xml"/>
  <Override PartName="/xl/drawings/drawing6.xml" ContentType="application/vnd.openxmlformats-officedocument.drawing+xml"/>
  <Override PartName="/xl/charts/chart7.xml" ContentType="application/vnd.openxmlformats-officedocument.drawingml.chart+xml"/>
  <Override PartName="/xl/charts/chart8.xml" ContentType="application/vnd.openxmlformats-officedocument.drawingml.chart+xml"/>
  <Override PartName="/xl/charts/style2.xml" ContentType="application/vnd.ms-office.chartstyle+xml"/>
  <Override PartName="/xl/charts/colors2.xml" ContentType="application/vnd.ms-office.chartcolorstyle+xml"/>
  <Override PartName="/xl/drawings/drawing7.xml" ContentType="application/vnd.openxmlformats-officedocument.drawing+xml"/>
  <Override PartName="/xl/charts/chart9.xml" ContentType="application/vnd.openxmlformats-officedocument.drawingml.chart+xml"/>
  <Override PartName="/xl/charts/chart10.xml" ContentType="application/vnd.openxmlformats-officedocument.drawingml.chart+xml"/>
  <Override PartName="/xl/charts/style3.xml" ContentType="application/vnd.ms-office.chartstyle+xml"/>
  <Override PartName="/xl/charts/colors3.xml" ContentType="application/vnd.ms-office.chartcolorstyle+xml"/>
  <Override PartName="/xl/drawings/drawing8.xml" ContentType="application/vnd.openxmlformats-officedocument.drawing+xml"/>
  <Override PartName="/xl/charts/chart11.xml" ContentType="application/vnd.openxmlformats-officedocument.drawingml.chart+xml"/>
  <Override PartName="/xl/drawings/drawing9.xml" ContentType="application/vnd.openxmlformats-officedocument.drawing+xml"/>
  <Override PartName="/xl/charts/chart12.xml" ContentType="application/vnd.openxmlformats-officedocument.drawingml.chart+xml"/>
  <Override PartName="/xl/charts/chart1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0.xml" ContentType="application/vnd.openxmlformats-officedocument.drawing+xml"/>
  <Override PartName="/xl/charts/chart14.xml" ContentType="application/vnd.openxmlformats-officedocument.drawingml.chart+xml"/>
  <Override PartName="/xl/charts/chart1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1.xml" ContentType="application/vnd.openxmlformats-officedocument.drawing+xml"/>
  <Override PartName="/xl/charts/chart16.xml" ContentType="application/vnd.openxmlformats-officedocument.drawingml.chart+xml"/>
  <Override PartName="/xl/drawings/drawing12.xml" ContentType="application/vnd.openxmlformats-officedocument.drawing+xml"/>
  <Override PartName="/xl/charts/chart17.xml" ContentType="application/vnd.openxmlformats-officedocument.drawingml.chart+xml"/>
  <Override PartName="/xl/drawings/drawing13.xml" ContentType="application/vnd.openxmlformats-officedocument.drawing+xml"/>
  <Override PartName="/xl/charts/chart18.xml" ContentType="application/vnd.openxmlformats-officedocument.drawingml.chart+xml"/>
  <Override PartName="/xl/drawings/drawing14.xml" ContentType="application/vnd.openxmlformats-officedocument.drawing+xml"/>
  <Override PartName="/xl/charts/chart19.xml" ContentType="application/vnd.openxmlformats-officedocument.drawingml.chart+xml"/>
  <Override PartName="/xl/drawings/drawing15.xml" ContentType="application/vnd.openxmlformats-officedocument.drawing+xml"/>
  <Override PartName="/xl/charts/chart20.xml" ContentType="application/vnd.openxmlformats-officedocument.drawingml.chart+xml"/>
  <Override PartName="/xl/charts/chart21.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6.xml" ContentType="application/vnd.openxmlformats-officedocument.drawing+xml"/>
  <Override PartName="/xl/charts/chart22.xml" ContentType="application/vnd.openxmlformats-officedocument.drawingml.chart+xml"/>
  <Override PartName="/xl/charts/chart23.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7.xml" ContentType="application/vnd.openxmlformats-officedocument.drawing+xml"/>
  <Override PartName="/xl/charts/chart24.xml" ContentType="application/vnd.openxmlformats-officedocument.drawingml.chart+xml"/>
  <Override PartName="/xl/drawings/drawing18.xml" ContentType="application/vnd.openxmlformats-officedocument.drawing+xml"/>
  <Override PartName="/xl/charts/chart25.xml" ContentType="application/vnd.openxmlformats-officedocument.drawingml.chart+xml"/>
  <Override PartName="/xl/charts/chart2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9.xml" ContentType="application/vnd.openxmlformats-officedocument.drawing+xml"/>
  <Override PartName="/xl/charts/chart27.xml" ContentType="application/vnd.openxmlformats-officedocument.drawingml.chart+xml"/>
  <Override PartName="/xl/charts/chart2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0.xml" ContentType="application/vnd.openxmlformats-officedocument.drawing+xml"/>
  <Override PartName="/xl/charts/chart29.xml" ContentType="application/vnd.openxmlformats-officedocument.drawingml.chart+xml"/>
  <Override PartName="/xl/charts/chart3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1.xml" ContentType="application/vnd.openxmlformats-officedocument.drawing+xml"/>
  <Override PartName="/xl/charts/chart31.xml" ContentType="application/vnd.openxmlformats-officedocument.drawingml.chart+xml"/>
  <Override PartName="/xl/charts/chart32.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22.xml" ContentType="application/vnd.openxmlformats-officedocument.drawing+xml"/>
  <Override PartName="/xl/charts/chart33.xml" ContentType="application/vnd.openxmlformats-officedocument.drawingml.chart+xml"/>
  <Override PartName="/xl/charts/chart34.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3.xml" ContentType="application/vnd.openxmlformats-officedocument.drawing+xml"/>
  <Override PartName="/xl/charts/chart35.xml" ContentType="application/vnd.openxmlformats-officedocument.drawingml.chart+xml"/>
  <Override PartName="/xl/charts/chart36.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24.xml" ContentType="application/vnd.openxmlformats-officedocument.drawing+xml"/>
  <Override PartName="/xl/charts/chart37.xml" ContentType="application/vnd.openxmlformats-officedocument.drawingml.chart+xml"/>
  <Override PartName="/xl/drawings/drawing25.xml" ContentType="application/vnd.openxmlformats-officedocument.drawing+xml"/>
  <Override PartName="/xl/charts/chart38.xml" ContentType="application/vnd.openxmlformats-officedocument.drawingml.chart+xml"/>
  <Override PartName="/xl/drawings/drawing26.xml" ContentType="application/vnd.openxmlformats-officedocument.drawing+xml"/>
  <Override PartName="/xl/charts/chart39.xml" ContentType="application/vnd.openxmlformats-officedocument.drawingml.chart+xml"/>
  <Override PartName="/xl/drawings/drawing27.xml" ContentType="application/vnd.openxmlformats-officedocument.drawing+xml"/>
  <Override PartName="/xl/charts/chart40.xml" ContentType="application/vnd.openxmlformats-officedocument.drawingml.chart+xml"/>
  <Override PartName="/xl/drawings/drawing28.xml" ContentType="application/vnd.openxmlformats-officedocument.drawing+xml"/>
  <Override PartName="/xl/charts/chart41.xml" ContentType="application/vnd.openxmlformats-officedocument.drawingml.chart+xml"/>
  <Override PartName="/xl/drawings/drawing29.xml" ContentType="application/vnd.openxmlformats-officedocument.drawing+xml"/>
  <Override PartName="/xl/charts/chart42.xml" ContentType="application/vnd.openxmlformats-officedocument.drawingml.chart+xml"/>
  <Override PartName="/xl/drawings/drawing30.xml" ContentType="application/vnd.openxmlformats-officedocument.drawing+xml"/>
  <Override PartName="/xl/charts/chart43.xml" ContentType="application/vnd.openxmlformats-officedocument.drawingml.chart+xml"/>
  <Override PartName="/xl/drawings/drawing31.xml" ContentType="application/vnd.openxmlformats-officedocument.drawing+xml"/>
  <Override PartName="/xl/charts/chart44.xml" ContentType="application/vnd.openxmlformats-officedocument.drawingml.chart+xml"/>
  <Override PartName="/xl/drawings/drawing32.xml" ContentType="application/vnd.openxmlformats-officedocument.drawing+xml"/>
  <Override PartName="/xl/charts/chart45.xml" ContentType="application/vnd.openxmlformats-officedocument.drawingml.chart+xml"/>
  <Override PartName="/xl/drawings/drawing33.xml" ContentType="application/vnd.openxmlformats-officedocument.drawing+xml"/>
  <Override PartName="/xl/charts/chart46.xml" ContentType="application/vnd.openxmlformats-officedocument.drawingml.chart+xml"/>
  <Override PartName="/xl/drawings/drawing3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codeName="ThisWorkbook" defaultThemeVersion="166925"/>
  <mc:AlternateContent xmlns:mc="http://schemas.openxmlformats.org/markup-compatibility/2006">
    <mc:Choice Requires="x15">
      <x15ac:absPath xmlns:x15ac="http://schemas.microsoft.com/office/spreadsheetml/2010/11/ac" url="C:\Users\ddubi\Downloads\"/>
    </mc:Choice>
  </mc:AlternateContent>
  <xr:revisionPtr revIDLastSave="0" documentId="13_ncr:1_{24EEF496-5C72-42CA-B801-063FC19A1C20}" xr6:coauthVersionLast="47" xr6:coauthVersionMax="47" xr10:uidLastSave="{00000000-0000-0000-0000-000000000000}"/>
  <bookViews>
    <workbookView xWindow="28680" yWindow="270" windowWidth="25440" windowHeight="15270" xr2:uid="{1AF43F00-230F-44CC-BBD4-7D25EA2CB6AC}"/>
  </bookViews>
  <sheets>
    <sheet name="Signal Generator" sheetId="1" r:id="rId1"/>
    <sheet name="Comparator" sheetId="2" r:id="rId2"/>
    <sheet name="Buffer" sheetId="3" r:id="rId3"/>
    <sheet name="Attenuator" sheetId="20" r:id="rId4"/>
    <sheet name="Unity LPF" sheetId="26" r:id="rId5"/>
    <sheet name="Unity HPF" sheetId="28" r:id="rId6"/>
    <sheet name="Unity BPF" sheetId="46" r:id="rId7"/>
    <sheet name="Inv" sheetId="12" r:id="rId8"/>
    <sheet name="Inv LPF" sheetId="25" r:id="rId9"/>
    <sheet name="Inv HPF" sheetId="30" r:id="rId10"/>
    <sheet name="InvAmp-BAD" sheetId="13" r:id="rId11"/>
    <sheet name="Inv+Bias" sheetId="14" r:id="rId12"/>
    <sheet name="Inv+Bias Vhalf" sheetId="45" r:id="rId13"/>
    <sheet name="Inv+Bias - Calculate R" sheetId="22" r:id="rId14"/>
    <sheet name="Inv+Bias LPF" sheetId="33" r:id="rId15"/>
    <sheet name="Inv+Bias HPF (AC Amp)" sheetId="47" r:id="rId16"/>
    <sheet name="NonInv" sheetId="15" r:id="rId17"/>
    <sheet name="NonInv CMC" sheetId="36" r:id="rId18"/>
    <sheet name="NonInv Thermocouple" sheetId="43" r:id="rId19"/>
    <sheet name="NonInv LPF" sheetId="42" r:id="rId20"/>
    <sheet name="NonInv LPF2" sheetId="27" r:id="rId21"/>
    <sheet name="NonInv HPF1" sheetId="31" r:id="rId22"/>
    <sheet name="NonInv HPF2" sheetId="41" r:id="rId23"/>
    <sheet name="NonInv+Bias" sheetId="16" r:id="rId24"/>
    <sheet name="NonInv+Bias Vhalf" sheetId="44" r:id="rId25"/>
    <sheet name="NonInv+Bias - Calculate R" sheetId="21" r:id="rId26"/>
    <sheet name="Diff" sheetId="18" r:id="rId27"/>
    <sheet name="Sum Inv" sheetId="19" r:id="rId28"/>
    <sheet name="Sum Inv - 3 inputs" sheetId="23" r:id="rId29"/>
    <sheet name="Sum Non-Inv" sheetId="11" r:id="rId30"/>
    <sheet name="Sum Non-Inv - Calculate R" sheetId="24" r:id="rId31"/>
    <sheet name="Transimpedance" sheetId="39" r:id="rId32"/>
    <sheet name="Transimpedance + Bias" sheetId="38" r:id="rId33"/>
    <sheet name="Op-Amps" sheetId="34" r:id="rId3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44" i="33" l="1"/>
  <c r="D43" i="33"/>
  <c r="D42" i="33"/>
  <c r="D41" i="33"/>
  <c r="D40" i="33"/>
  <c r="D39" i="33"/>
  <c r="D38" i="33"/>
  <c r="D37" i="33"/>
  <c r="D36" i="33"/>
  <c r="D35" i="33"/>
  <c r="D34" i="33"/>
  <c r="D33" i="33"/>
  <c r="D32" i="33"/>
  <c r="D31" i="33"/>
  <c r="D30" i="33"/>
  <c r="D29" i="33"/>
  <c r="D28" i="33"/>
  <c r="D27" i="33"/>
  <c r="D26" i="33"/>
  <c r="D25" i="33"/>
  <c r="D24" i="33"/>
  <c r="D23" i="33"/>
  <c r="D22" i="33"/>
  <c r="D21" i="33"/>
  <c r="D20" i="33"/>
  <c r="D19" i="33"/>
  <c r="F2" i="33"/>
  <c r="F4" i="33" s="1"/>
  <c r="F5" i="33" s="1"/>
  <c r="F3" i="33"/>
  <c r="C11" i="46"/>
  <c r="S34" i="46"/>
  <c r="D44" i="47"/>
  <c r="D43" i="47"/>
  <c r="D42" i="47"/>
  <c r="D41" i="47"/>
  <c r="D40" i="47"/>
  <c r="D39" i="47"/>
  <c r="D38" i="47"/>
  <c r="D37" i="47"/>
  <c r="D36" i="47"/>
  <c r="D35" i="47"/>
  <c r="D34" i="47"/>
  <c r="D33" i="47"/>
  <c r="D32" i="47"/>
  <c r="D31" i="47"/>
  <c r="D30" i="47"/>
  <c r="D29" i="47"/>
  <c r="D28" i="47"/>
  <c r="D27" i="47"/>
  <c r="D26" i="47"/>
  <c r="D25" i="47"/>
  <c r="D24" i="47"/>
  <c r="D23" i="47"/>
  <c r="D22" i="47"/>
  <c r="D21" i="47"/>
  <c r="D20" i="47"/>
  <c r="D19" i="47"/>
  <c r="F4" i="47"/>
  <c r="F5" i="47" s="1"/>
  <c r="F3" i="47"/>
  <c r="F2" i="47"/>
  <c r="D42" i="27"/>
  <c r="D41" i="27"/>
  <c r="D40" i="27"/>
  <c r="D39" i="27"/>
  <c r="D38" i="27"/>
  <c r="D37" i="27"/>
  <c r="D36" i="27"/>
  <c r="D35" i="27"/>
  <c r="D34" i="27"/>
  <c r="D33" i="27"/>
  <c r="D32" i="27"/>
  <c r="D31" i="27"/>
  <c r="D30" i="27"/>
  <c r="D29" i="27"/>
  <c r="D28" i="27"/>
  <c r="D27" i="27"/>
  <c r="D26" i="27"/>
  <c r="D25" i="27"/>
  <c r="D24" i="27"/>
  <c r="D23" i="27"/>
  <c r="D22" i="27"/>
  <c r="D21" i="27"/>
  <c r="D20" i="27"/>
  <c r="D19" i="27"/>
  <c r="D18" i="27"/>
  <c r="D17" i="27"/>
  <c r="F4" i="27"/>
  <c r="F3" i="27"/>
  <c r="F2" i="27"/>
  <c r="F5" i="27"/>
  <c r="D43" i="31"/>
  <c r="D42" i="31"/>
  <c r="D41" i="31"/>
  <c r="D40" i="31"/>
  <c r="D39" i="31"/>
  <c r="D38" i="31"/>
  <c r="D37" i="31"/>
  <c r="D36" i="31"/>
  <c r="D35" i="31"/>
  <c r="D34" i="31"/>
  <c r="D33" i="31"/>
  <c r="D32" i="31"/>
  <c r="D31" i="31"/>
  <c r="D30" i="31"/>
  <c r="D29" i="31"/>
  <c r="D28" i="31"/>
  <c r="D27" i="31"/>
  <c r="D26" i="31"/>
  <c r="D25" i="31"/>
  <c r="D24" i="31"/>
  <c r="D23" i="31"/>
  <c r="D22" i="31"/>
  <c r="D21" i="31"/>
  <c r="D20" i="31"/>
  <c r="D19" i="31"/>
  <c r="D18" i="31"/>
  <c r="F4" i="31"/>
  <c r="F3" i="31"/>
  <c r="F2" i="31"/>
  <c r="D42" i="30"/>
  <c r="D41" i="30"/>
  <c r="D40" i="30"/>
  <c r="D39" i="30"/>
  <c r="D38" i="30"/>
  <c r="D37" i="30"/>
  <c r="D36" i="30"/>
  <c r="D35" i="30"/>
  <c r="D34" i="30"/>
  <c r="D33" i="30"/>
  <c r="D32" i="30"/>
  <c r="D31" i="30"/>
  <c r="D30" i="30"/>
  <c r="D29" i="30"/>
  <c r="D28" i="30"/>
  <c r="D27" i="30"/>
  <c r="D26" i="30"/>
  <c r="D25" i="30"/>
  <c r="D24" i="30"/>
  <c r="D23" i="30"/>
  <c r="D22" i="30"/>
  <c r="D21" i="30"/>
  <c r="D20" i="30"/>
  <c r="D19" i="30"/>
  <c r="D18" i="30"/>
  <c r="D17" i="30"/>
  <c r="F2" i="30"/>
  <c r="F4" i="30"/>
  <c r="F5" i="30" s="1"/>
  <c r="D43" i="42"/>
  <c r="D42" i="42"/>
  <c r="D41" i="42"/>
  <c r="D40" i="42"/>
  <c r="D39" i="42"/>
  <c r="D38" i="42"/>
  <c r="D37" i="42"/>
  <c r="D36" i="42"/>
  <c r="D35" i="42"/>
  <c r="D34" i="42"/>
  <c r="D33" i="42"/>
  <c r="D32" i="42"/>
  <c r="D31" i="42"/>
  <c r="D30" i="42"/>
  <c r="D29" i="42"/>
  <c r="D28" i="42"/>
  <c r="D27" i="42"/>
  <c r="D26" i="42"/>
  <c r="D25" i="42"/>
  <c r="D24" i="42"/>
  <c r="D23" i="42"/>
  <c r="D22" i="42"/>
  <c r="D21" i="42"/>
  <c r="D20" i="42"/>
  <c r="D19" i="42"/>
  <c r="D18" i="42"/>
  <c r="F4" i="42"/>
  <c r="F2" i="42"/>
  <c r="F3" i="42" s="1"/>
  <c r="F3" i="25"/>
  <c r="F4" i="25" s="1"/>
  <c r="F3" i="28"/>
  <c r="F3" i="26"/>
  <c r="F5" i="26" s="1"/>
  <c r="F6" i="26" s="1"/>
  <c r="E49" i="41"/>
  <c r="E50" i="41"/>
  <c r="E51" i="41"/>
  <c r="E52" i="41"/>
  <c r="E53" i="41"/>
  <c r="E54" i="41"/>
  <c r="E55" i="41"/>
  <c r="E56" i="41"/>
  <c r="E57" i="41"/>
  <c r="E58" i="41"/>
  <c r="E59" i="41"/>
  <c r="E60" i="41"/>
  <c r="E61" i="41"/>
  <c r="E62" i="41"/>
  <c r="E63" i="41"/>
  <c r="E64" i="41"/>
  <c r="E65" i="41"/>
  <c r="E66" i="41"/>
  <c r="E67" i="41"/>
  <c r="E68" i="41"/>
  <c r="E69" i="41"/>
  <c r="E70" i="41"/>
  <c r="E71" i="41"/>
  <c r="E72" i="41"/>
  <c r="E73" i="41"/>
  <c r="E74" i="41"/>
  <c r="E75" i="41"/>
  <c r="E76" i="41"/>
  <c r="E77" i="41"/>
  <c r="E78" i="41"/>
  <c r="E79" i="41"/>
  <c r="E80" i="41"/>
  <c r="E81" i="41"/>
  <c r="E82" i="41"/>
  <c r="E83" i="41"/>
  <c r="E84" i="41"/>
  <c r="E85" i="41"/>
  <c r="E86" i="41"/>
  <c r="E87" i="41"/>
  <c r="E88" i="41"/>
  <c r="E89" i="41"/>
  <c r="E90" i="41"/>
  <c r="E91" i="41"/>
  <c r="E92" i="41"/>
  <c r="E93" i="41"/>
  <c r="E94" i="41"/>
  <c r="E95" i="41"/>
  <c r="E96" i="41"/>
  <c r="E97" i="41"/>
  <c r="E98" i="41"/>
  <c r="E99" i="41"/>
  <c r="E100" i="41"/>
  <c r="E101" i="41"/>
  <c r="E102" i="41"/>
  <c r="E48" i="41"/>
  <c r="C49" i="41"/>
  <c r="C50" i="41"/>
  <c r="C51" i="41"/>
  <c r="C52" i="41"/>
  <c r="C53" i="41"/>
  <c r="C54" i="41"/>
  <c r="C55" i="41"/>
  <c r="C56" i="41"/>
  <c r="C57" i="41"/>
  <c r="C58" i="41"/>
  <c r="C59" i="41"/>
  <c r="C60" i="41"/>
  <c r="C61" i="41"/>
  <c r="C62" i="41"/>
  <c r="C63" i="41"/>
  <c r="C64" i="41"/>
  <c r="C65" i="41"/>
  <c r="C66" i="41"/>
  <c r="C67" i="41"/>
  <c r="C68" i="41"/>
  <c r="C69" i="41"/>
  <c r="C70" i="41"/>
  <c r="C71" i="41"/>
  <c r="C72" i="41"/>
  <c r="C73" i="41"/>
  <c r="C74" i="41"/>
  <c r="C75" i="41"/>
  <c r="C76" i="41"/>
  <c r="C77" i="41"/>
  <c r="C78" i="41"/>
  <c r="C79" i="41"/>
  <c r="C80" i="41"/>
  <c r="C81" i="41"/>
  <c r="C82" i="41"/>
  <c r="C83" i="41"/>
  <c r="C84" i="41"/>
  <c r="C85" i="41"/>
  <c r="C86" i="41"/>
  <c r="C87" i="41"/>
  <c r="C88" i="41"/>
  <c r="C89" i="41"/>
  <c r="C90" i="41"/>
  <c r="C91" i="41"/>
  <c r="C92" i="41"/>
  <c r="C93" i="41"/>
  <c r="C94" i="41"/>
  <c r="C95" i="41"/>
  <c r="C96" i="41"/>
  <c r="C97" i="41"/>
  <c r="C98" i="41"/>
  <c r="C99" i="41"/>
  <c r="C100" i="41"/>
  <c r="C101" i="41"/>
  <c r="C102" i="41"/>
  <c r="C48" i="41"/>
  <c r="D43" i="41"/>
  <c r="D42" i="41"/>
  <c r="D41" i="41"/>
  <c r="D40" i="41"/>
  <c r="D39" i="41"/>
  <c r="D38" i="41"/>
  <c r="D37" i="41"/>
  <c r="D36" i="41"/>
  <c r="D35" i="41"/>
  <c r="D34" i="41"/>
  <c r="D33" i="41"/>
  <c r="D32" i="41"/>
  <c r="D31" i="41"/>
  <c r="D30" i="41"/>
  <c r="D29" i="41"/>
  <c r="D28" i="41"/>
  <c r="D27" i="41"/>
  <c r="D26" i="41"/>
  <c r="D25" i="41"/>
  <c r="D24" i="41"/>
  <c r="D23" i="41"/>
  <c r="D22" i="41"/>
  <c r="D21" i="41"/>
  <c r="D20" i="41"/>
  <c r="D19" i="41"/>
  <c r="D18" i="41"/>
  <c r="C48" i="25"/>
  <c r="C49" i="25"/>
  <c r="C50" i="25"/>
  <c r="C51" i="25"/>
  <c r="C52" i="25"/>
  <c r="C53" i="25"/>
  <c r="C54" i="25"/>
  <c r="C55" i="25"/>
  <c r="C56" i="25"/>
  <c r="C57" i="25"/>
  <c r="C58" i="25"/>
  <c r="C59" i="25"/>
  <c r="C60" i="25"/>
  <c r="C61" i="25"/>
  <c r="C62" i="25"/>
  <c r="C63" i="25"/>
  <c r="C64" i="25"/>
  <c r="C65" i="25"/>
  <c r="C66" i="25"/>
  <c r="C67" i="25"/>
  <c r="C68" i="25"/>
  <c r="C69" i="25"/>
  <c r="C70" i="25"/>
  <c r="C71" i="25"/>
  <c r="C72" i="25"/>
  <c r="C73" i="25"/>
  <c r="C74" i="25"/>
  <c r="C75" i="25"/>
  <c r="C76" i="25"/>
  <c r="C77" i="25"/>
  <c r="C78" i="25"/>
  <c r="C79" i="25"/>
  <c r="C80" i="25"/>
  <c r="C81" i="25"/>
  <c r="C82" i="25"/>
  <c r="C83" i="25"/>
  <c r="C84" i="25"/>
  <c r="C85" i="25"/>
  <c r="C86" i="25"/>
  <c r="C87" i="25"/>
  <c r="C88" i="25"/>
  <c r="C89" i="25"/>
  <c r="C90" i="25"/>
  <c r="C91" i="25"/>
  <c r="C92" i="25"/>
  <c r="C93" i="25"/>
  <c r="C94" i="25"/>
  <c r="C95" i="25"/>
  <c r="C96" i="25"/>
  <c r="C97" i="25"/>
  <c r="C98" i="25"/>
  <c r="C99" i="25"/>
  <c r="C100" i="25"/>
  <c r="C101" i="25"/>
  <c r="C47" i="25"/>
  <c r="E47" i="25"/>
  <c r="E48" i="25"/>
  <c r="E49" i="25"/>
  <c r="E50" i="25"/>
  <c r="E51" i="25"/>
  <c r="E52" i="25"/>
  <c r="E53" i="25"/>
  <c r="E54" i="25"/>
  <c r="E55" i="25"/>
  <c r="E56" i="25"/>
  <c r="E57" i="25"/>
  <c r="E58" i="25"/>
  <c r="E59" i="25"/>
  <c r="E60" i="25"/>
  <c r="E61" i="25"/>
  <c r="E62" i="25"/>
  <c r="E63" i="25"/>
  <c r="E64" i="25"/>
  <c r="E65" i="25"/>
  <c r="E66" i="25"/>
  <c r="E67" i="25"/>
  <c r="E68" i="25"/>
  <c r="E69" i="25"/>
  <c r="E70" i="25"/>
  <c r="E71" i="25"/>
  <c r="E72" i="25"/>
  <c r="E73" i="25"/>
  <c r="E74" i="25"/>
  <c r="E75" i="25"/>
  <c r="E76" i="25"/>
  <c r="E77" i="25"/>
  <c r="E78" i="25"/>
  <c r="E79" i="25"/>
  <c r="E80" i="25"/>
  <c r="E81" i="25"/>
  <c r="E82" i="25"/>
  <c r="E83" i="25"/>
  <c r="E84" i="25"/>
  <c r="E85" i="25"/>
  <c r="E86" i="25"/>
  <c r="E87" i="25"/>
  <c r="E88" i="25"/>
  <c r="E89" i="25"/>
  <c r="E90" i="25"/>
  <c r="E91" i="25"/>
  <c r="E92" i="25"/>
  <c r="E93" i="25"/>
  <c r="E94" i="25"/>
  <c r="E95" i="25"/>
  <c r="E96" i="25"/>
  <c r="E97" i="25"/>
  <c r="E98" i="25"/>
  <c r="E99" i="25"/>
  <c r="E100" i="25"/>
  <c r="E101" i="25"/>
  <c r="E48" i="27"/>
  <c r="E49" i="27"/>
  <c r="E50" i="27"/>
  <c r="E51" i="27"/>
  <c r="E52" i="27"/>
  <c r="E53" i="27"/>
  <c r="E54" i="27"/>
  <c r="E55" i="27"/>
  <c r="E56" i="27"/>
  <c r="E57" i="27"/>
  <c r="E58" i="27"/>
  <c r="E59" i="27"/>
  <c r="E60" i="27"/>
  <c r="E61" i="27"/>
  <c r="E62" i="27"/>
  <c r="E63" i="27"/>
  <c r="E64" i="27"/>
  <c r="E65" i="27"/>
  <c r="E66" i="27"/>
  <c r="E67" i="27"/>
  <c r="E68" i="27"/>
  <c r="E69" i="27"/>
  <c r="E70" i="27"/>
  <c r="E71" i="27"/>
  <c r="E72" i="27"/>
  <c r="E73" i="27"/>
  <c r="E74" i="27"/>
  <c r="E75" i="27"/>
  <c r="E76" i="27"/>
  <c r="E77" i="27"/>
  <c r="E78" i="27"/>
  <c r="E79" i="27"/>
  <c r="E80" i="27"/>
  <c r="E81" i="27"/>
  <c r="E82" i="27"/>
  <c r="E83" i="27"/>
  <c r="E84" i="27"/>
  <c r="E85" i="27"/>
  <c r="E86" i="27"/>
  <c r="E87" i="27"/>
  <c r="E88" i="27"/>
  <c r="E89" i="27"/>
  <c r="E90" i="27"/>
  <c r="E91" i="27"/>
  <c r="E92" i="27"/>
  <c r="E93" i="27"/>
  <c r="E94" i="27"/>
  <c r="E95" i="27"/>
  <c r="E96" i="27"/>
  <c r="E97" i="27"/>
  <c r="E98" i="27"/>
  <c r="E99" i="27"/>
  <c r="E100" i="27"/>
  <c r="E101" i="27"/>
  <c r="E4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17" i="27"/>
  <c r="S35" i="46" l="1"/>
  <c r="S36" i="46"/>
  <c r="S37" i="46" s="1"/>
  <c r="P34" i="46"/>
  <c r="P36" i="46" s="1"/>
  <c r="P37" i="46" s="1"/>
  <c r="F5" i="25"/>
  <c r="F6" i="25" s="1"/>
  <c r="F5" i="31"/>
  <c r="F3" i="30"/>
  <c r="F5" i="42"/>
  <c r="F4" i="26"/>
  <c r="C14" i="47"/>
  <c r="C6" i="47"/>
  <c r="C7" i="47" s="1"/>
  <c r="I44" i="47"/>
  <c r="K44" i="47" s="1"/>
  <c r="I43" i="47"/>
  <c r="K43" i="47" s="1"/>
  <c r="I42" i="47"/>
  <c r="K42" i="47" s="1"/>
  <c r="I41" i="47"/>
  <c r="K41" i="47" s="1"/>
  <c r="I40" i="47"/>
  <c r="K40" i="47" s="1"/>
  <c r="I39" i="47"/>
  <c r="K39" i="47" s="1"/>
  <c r="I13" i="47"/>
  <c r="C8" i="47"/>
  <c r="I44" i="46"/>
  <c r="I43" i="46"/>
  <c r="K44" i="46"/>
  <c r="K43" i="46"/>
  <c r="F11" i="46"/>
  <c r="F10" i="46"/>
  <c r="F9" i="46"/>
  <c r="E49" i="46"/>
  <c r="E50" i="46"/>
  <c r="E51" i="46"/>
  <c r="E52" i="46"/>
  <c r="E53" i="46"/>
  <c r="E54" i="46"/>
  <c r="E55" i="46"/>
  <c r="E56" i="46"/>
  <c r="E57" i="46"/>
  <c r="E58" i="46"/>
  <c r="E59" i="46"/>
  <c r="E60" i="46"/>
  <c r="E61" i="46"/>
  <c r="E62" i="46"/>
  <c r="E63" i="46"/>
  <c r="E64" i="46"/>
  <c r="E65" i="46"/>
  <c r="E66" i="46"/>
  <c r="E67" i="46"/>
  <c r="E68" i="46"/>
  <c r="E69" i="46"/>
  <c r="E70" i="46"/>
  <c r="E71" i="46"/>
  <c r="E72" i="46"/>
  <c r="E73" i="46"/>
  <c r="E74" i="46"/>
  <c r="E75" i="46"/>
  <c r="E76" i="46"/>
  <c r="E77" i="46"/>
  <c r="E78" i="46"/>
  <c r="E79" i="46"/>
  <c r="E80" i="46"/>
  <c r="E81" i="46"/>
  <c r="E82" i="46"/>
  <c r="E83" i="46"/>
  <c r="E84" i="46"/>
  <c r="E85" i="46"/>
  <c r="E86" i="46"/>
  <c r="E87" i="46"/>
  <c r="E88" i="46"/>
  <c r="E89" i="46"/>
  <c r="E90" i="46"/>
  <c r="E91" i="46"/>
  <c r="E92" i="46"/>
  <c r="E93" i="46"/>
  <c r="E94" i="46"/>
  <c r="E95" i="46"/>
  <c r="E96" i="46"/>
  <c r="E97" i="46"/>
  <c r="E98" i="46"/>
  <c r="E99" i="46"/>
  <c r="E100" i="46"/>
  <c r="E101" i="46"/>
  <c r="E102" i="46"/>
  <c r="E48" i="46"/>
  <c r="F49" i="46"/>
  <c r="F50" i="46"/>
  <c r="F51" i="46"/>
  <c r="F52" i="46"/>
  <c r="F53" i="46"/>
  <c r="F54" i="46"/>
  <c r="F55" i="46"/>
  <c r="F56" i="46"/>
  <c r="F57" i="46"/>
  <c r="F58" i="46"/>
  <c r="F59" i="46"/>
  <c r="F60" i="46"/>
  <c r="F61" i="46"/>
  <c r="F62" i="46"/>
  <c r="F63" i="46"/>
  <c r="F64" i="46"/>
  <c r="F65" i="46"/>
  <c r="F66" i="46"/>
  <c r="F67" i="46"/>
  <c r="F68" i="46"/>
  <c r="F69" i="46"/>
  <c r="F70" i="46"/>
  <c r="F71" i="46"/>
  <c r="F72" i="46"/>
  <c r="F73" i="46"/>
  <c r="F74" i="46"/>
  <c r="F75" i="46"/>
  <c r="F76" i="46"/>
  <c r="F77" i="46"/>
  <c r="F78" i="46"/>
  <c r="F79" i="46"/>
  <c r="F80" i="46"/>
  <c r="F81" i="46"/>
  <c r="F82" i="46"/>
  <c r="F83" i="46"/>
  <c r="F84" i="46"/>
  <c r="F85" i="46"/>
  <c r="F86" i="46"/>
  <c r="F87" i="46"/>
  <c r="F88" i="46"/>
  <c r="F89" i="46"/>
  <c r="F90" i="46"/>
  <c r="F91" i="46"/>
  <c r="F92" i="46"/>
  <c r="F93" i="46"/>
  <c r="F94" i="46"/>
  <c r="F95" i="46"/>
  <c r="F96" i="46"/>
  <c r="F97" i="46"/>
  <c r="F98" i="46"/>
  <c r="F99" i="46"/>
  <c r="F100" i="46"/>
  <c r="F101" i="46"/>
  <c r="F102" i="46"/>
  <c r="F48" i="46"/>
  <c r="F7" i="46"/>
  <c r="D49" i="46"/>
  <c r="D50" i="46"/>
  <c r="D51" i="46"/>
  <c r="D52" i="46"/>
  <c r="D53" i="46"/>
  <c r="D54" i="46"/>
  <c r="D55" i="46"/>
  <c r="D56" i="46"/>
  <c r="D57" i="46"/>
  <c r="D58" i="46"/>
  <c r="D59" i="46"/>
  <c r="D60" i="46"/>
  <c r="D61" i="46"/>
  <c r="D62" i="46"/>
  <c r="D63" i="46"/>
  <c r="D64" i="46"/>
  <c r="D65" i="46"/>
  <c r="D66" i="46"/>
  <c r="D67" i="46"/>
  <c r="D68" i="46"/>
  <c r="D69" i="46"/>
  <c r="D70" i="46"/>
  <c r="D71" i="46"/>
  <c r="D72" i="46"/>
  <c r="D73" i="46"/>
  <c r="D74" i="46"/>
  <c r="D75" i="46"/>
  <c r="D76" i="46"/>
  <c r="D77" i="46"/>
  <c r="D78" i="46"/>
  <c r="D79" i="46"/>
  <c r="D80" i="46"/>
  <c r="D81" i="46"/>
  <c r="D82" i="46"/>
  <c r="D83" i="46"/>
  <c r="D84" i="46"/>
  <c r="D85" i="46"/>
  <c r="D86" i="46"/>
  <c r="D87" i="46"/>
  <c r="D88" i="46"/>
  <c r="D89" i="46"/>
  <c r="D90" i="46"/>
  <c r="D91" i="46"/>
  <c r="D92" i="46"/>
  <c r="D93" i="46"/>
  <c r="D94" i="46"/>
  <c r="D95" i="46"/>
  <c r="D96" i="46"/>
  <c r="D97" i="46"/>
  <c r="D98" i="46"/>
  <c r="D99" i="46"/>
  <c r="D100" i="46"/>
  <c r="D101" i="46"/>
  <c r="D102" i="46"/>
  <c r="D48" i="46"/>
  <c r="C102" i="46"/>
  <c r="C101" i="46"/>
  <c r="C100" i="46"/>
  <c r="C99" i="46"/>
  <c r="C98" i="46"/>
  <c r="C97" i="46"/>
  <c r="C96" i="46"/>
  <c r="C95" i="46"/>
  <c r="C94" i="46"/>
  <c r="C93" i="46"/>
  <c r="C92" i="46"/>
  <c r="C91" i="46"/>
  <c r="C90" i="46"/>
  <c r="C89" i="46"/>
  <c r="C88" i="46"/>
  <c r="C87" i="46"/>
  <c r="C86" i="46"/>
  <c r="C85" i="46"/>
  <c r="C84" i="46"/>
  <c r="C83" i="46"/>
  <c r="C82" i="46"/>
  <c r="C81" i="46"/>
  <c r="C80" i="46"/>
  <c r="C79" i="46"/>
  <c r="C78" i="46"/>
  <c r="C77" i="46"/>
  <c r="C76" i="46"/>
  <c r="C75" i="46"/>
  <c r="C74" i="46"/>
  <c r="C73" i="46"/>
  <c r="C72" i="46"/>
  <c r="C71" i="46"/>
  <c r="C70" i="46"/>
  <c r="C69" i="46"/>
  <c r="C68" i="46"/>
  <c r="C67" i="46"/>
  <c r="C66" i="46"/>
  <c r="C65" i="46"/>
  <c r="C64" i="46"/>
  <c r="C63" i="46"/>
  <c r="C62" i="46"/>
  <c r="C61" i="46"/>
  <c r="C60" i="46"/>
  <c r="C59" i="46"/>
  <c r="C58" i="46"/>
  <c r="C57" i="46"/>
  <c r="C56" i="46"/>
  <c r="C55" i="46"/>
  <c r="C54" i="46"/>
  <c r="C53" i="46"/>
  <c r="C52" i="46"/>
  <c r="C51" i="46"/>
  <c r="C50" i="46"/>
  <c r="C49" i="46"/>
  <c r="C48" i="46"/>
  <c r="I42" i="46"/>
  <c r="K42" i="46" s="1"/>
  <c r="I41" i="46"/>
  <c r="K41" i="46" s="1"/>
  <c r="I40" i="46"/>
  <c r="K40" i="46" s="1"/>
  <c r="I39" i="46"/>
  <c r="K39" i="46" s="1"/>
  <c r="I38" i="46"/>
  <c r="K38" i="46" s="1"/>
  <c r="I12" i="46"/>
  <c r="C7" i="46"/>
  <c r="C9" i="46"/>
  <c r="H27" i="1"/>
  <c r="H11" i="43"/>
  <c r="C13" i="45"/>
  <c r="C14" i="45"/>
  <c r="C15" i="45"/>
  <c r="C16" i="45"/>
  <c r="D16" i="45" s="1"/>
  <c r="E16" i="45" s="1"/>
  <c r="C17" i="45"/>
  <c r="C18" i="45"/>
  <c r="C19" i="45"/>
  <c r="C20" i="45"/>
  <c r="C21" i="45"/>
  <c r="C22" i="45"/>
  <c r="C25" i="45"/>
  <c r="C26" i="45"/>
  <c r="C27" i="45"/>
  <c r="C28" i="45"/>
  <c r="C29" i="45"/>
  <c r="C30" i="45"/>
  <c r="C31" i="45"/>
  <c r="D31" i="45" s="1"/>
  <c r="E31" i="45" s="1"/>
  <c r="C32" i="45"/>
  <c r="C33" i="45"/>
  <c r="C34" i="45"/>
  <c r="C4" i="45"/>
  <c r="C10" i="45" s="1"/>
  <c r="H35" i="45"/>
  <c r="J35" i="45" s="1"/>
  <c r="H34" i="45"/>
  <c r="J34" i="45" s="1"/>
  <c r="H33" i="45"/>
  <c r="J33" i="45" s="1"/>
  <c r="H32" i="45"/>
  <c r="J32" i="45" s="1"/>
  <c r="H31" i="45"/>
  <c r="J31" i="45" s="1"/>
  <c r="H30" i="45"/>
  <c r="J30" i="45" s="1"/>
  <c r="D28" i="45"/>
  <c r="E28" i="45" s="1"/>
  <c r="D20" i="45"/>
  <c r="E20" i="45" s="1"/>
  <c r="C6" i="45"/>
  <c r="C5" i="45"/>
  <c r="C11" i="44"/>
  <c r="C12" i="44"/>
  <c r="C13" i="44"/>
  <c r="C14" i="44"/>
  <c r="C15" i="44"/>
  <c r="C16" i="44"/>
  <c r="C17" i="44"/>
  <c r="C18" i="44"/>
  <c r="C19" i="44"/>
  <c r="C20" i="44"/>
  <c r="D20" i="44" s="1"/>
  <c r="C21" i="44"/>
  <c r="C22" i="44"/>
  <c r="D22" i="44" s="1"/>
  <c r="C23" i="44"/>
  <c r="C24" i="44"/>
  <c r="C25" i="44"/>
  <c r="C26" i="44"/>
  <c r="C27" i="44"/>
  <c r="C28" i="44"/>
  <c r="C29" i="44"/>
  <c r="C30" i="44"/>
  <c r="C31" i="44"/>
  <c r="C32" i="44"/>
  <c r="C33" i="44"/>
  <c r="C34" i="44"/>
  <c r="D34" i="44" s="1"/>
  <c r="C35" i="44"/>
  <c r="C10" i="44"/>
  <c r="D10" i="16"/>
  <c r="D11" i="16"/>
  <c r="D12" i="16"/>
  <c r="D13" i="16"/>
  <c r="D15" i="16"/>
  <c r="D16" i="16"/>
  <c r="D17" i="16"/>
  <c r="D18" i="16"/>
  <c r="D19" i="16"/>
  <c r="D20" i="16"/>
  <c r="D21" i="16"/>
  <c r="D22" i="16"/>
  <c r="D23" i="16"/>
  <c r="D24" i="16"/>
  <c r="D25" i="16"/>
  <c r="D26" i="16"/>
  <c r="D27" i="16"/>
  <c r="D28" i="16"/>
  <c r="D29" i="16"/>
  <c r="D30" i="16"/>
  <c r="D31" i="16"/>
  <c r="D32" i="16"/>
  <c r="D33" i="16"/>
  <c r="D34" i="16"/>
  <c r="D35" i="16"/>
  <c r="D14" i="16"/>
  <c r="C4" i="44"/>
  <c r="H33" i="44"/>
  <c r="J33" i="44" s="1"/>
  <c r="H35" i="44"/>
  <c r="J35" i="44" s="1"/>
  <c r="H34" i="44"/>
  <c r="J34" i="44" s="1"/>
  <c r="H32" i="44"/>
  <c r="J32" i="44" s="1"/>
  <c r="H31" i="44"/>
  <c r="J31" i="44" s="1"/>
  <c r="H30" i="44"/>
  <c r="J30" i="44" s="1"/>
  <c r="C6" i="44"/>
  <c r="D23" i="44" s="1"/>
  <c r="H38" i="43"/>
  <c r="H37" i="43"/>
  <c r="J38" i="43"/>
  <c r="J37" i="43"/>
  <c r="H36" i="43"/>
  <c r="J36" i="43"/>
  <c r="H35" i="43"/>
  <c r="J35" i="43"/>
  <c r="H34" i="43"/>
  <c r="J34" i="43" s="1"/>
  <c r="H33" i="43"/>
  <c r="J33" i="43"/>
  <c r="C19" i="43"/>
  <c r="C20" i="43"/>
  <c r="C11" i="43"/>
  <c r="C10" i="43"/>
  <c r="Z29" i="43"/>
  <c r="Z28" i="43"/>
  <c r="Z7" i="43"/>
  <c r="Z8" i="43"/>
  <c r="Z9" i="43"/>
  <c r="Z10" i="43"/>
  <c r="Z11" i="43"/>
  <c r="Z12" i="43"/>
  <c r="Z13" i="43"/>
  <c r="Z14" i="43"/>
  <c r="Z15" i="43"/>
  <c r="Z16" i="43"/>
  <c r="Z17" i="43"/>
  <c r="Z18" i="43"/>
  <c r="Z19" i="43"/>
  <c r="Z20" i="43"/>
  <c r="Z21" i="43"/>
  <c r="Z22" i="43"/>
  <c r="Z23" i="43"/>
  <c r="Z24" i="43"/>
  <c r="Z25" i="43"/>
  <c r="Z26" i="43"/>
  <c r="Z6" i="43"/>
  <c r="X25" i="43"/>
  <c r="X26" i="43"/>
  <c r="X19" i="43"/>
  <c r="X20" i="43"/>
  <c r="X21" i="43"/>
  <c r="X22" i="43"/>
  <c r="X23" i="43"/>
  <c r="X24" i="43" s="1"/>
  <c r="X18" i="43"/>
  <c r="C44" i="43"/>
  <c r="C5" i="43"/>
  <c r="C14" i="43" s="1"/>
  <c r="P35" i="46" l="1"/>
  <c r="D18" i="46" s="1"/>
  <c r="D17" i="25"/>
  <c r="D17" i="26"/>
  <c r="C90" i="47"/>
  <c r="C103" i="47"/>
  <c r="C50" i="47"/>
  <c r="C58" i="47"/>
  <c r="C66" i="47"/>
  <c r="C74" i="47"/>
  <c r="C82" i="47"/>
  <c r="C97" i="47"/>
  <c r="C98" i="47"/>
  <c r="C56" i="47"/>
  <c r="C64" i="47"/>
  <c r="C72" i="47"/>
  <c r="C80" i="47"/>
  <c r="C88" i="47"/>
  <c r="C96" i="47"/>
  <c r="C49" i="47"/>
  <c r="C57" i="47"/>
  <c r="C65" i="47"/>
  <c r="C73" i="47"/>
  <c r="C81" i="47"/>
  <c r="C89" i="47"/>
  <c r="C51" i="47"/>
  <c r="C59" i="47"/>
  <c r="C67" i="47"/>
  <c r="C75" i="47"/>
  <c r="C83" i="47"/>
  <c r="C91" i="47"/>
  <c r="C99" i="47"/>
  <c r="C52" i="47"/>
  <c r="C60" i="47"/>
  <c r="C68" i="47"/>
  <c r="C76" i="47"/>
  <c r="C84" i="47"/>
  <c r="C92" i="47"/>
  <c r="C100" i="47"/>
  <c r="C53" i="47"/>
  <c r="C61" i="47"/>
  <c r="C69" i="47"/>
  <c r="C77" i="47"/>
  <c r="C85" i="47"/>
  <c r="C93" i="47"/>
  <c r="C101" i="47"/>
  <c r="C54" i="47"/>
  <c r="C62" i="47"/>
  <c r="C70" i="47"/>
  <c r="C78" i="47"/>
  <c r="C86" i="47"/>
  <c r="C94" i="47"/>
  <c r="C102" i="47"/>
  <c r="C55" i="47"/>
  <c r="C63" i="47"/>
  <c r="C71" i="47"/>
  <c r="C79" i="47"/>
  <c r="C87" i="47"/>
  <c r="C95" i="47"/>
  <c r="C24" i="45"/>
  <c r="D24" i="45" s="1"/>
  <c r="E24" i="45" s="1"/>
  <c r="C12" i="45"/>
  <c r="D12" i="45" s="1"/>
  <c r="E12" i="45" s="1"/>
  <c r="C35" i="45"/>
  <c r="C23" i="45"/>
  <c r="C11" i="45"/>
  <c r="D25" i="45"/>
  <c r="E25" i="45" s="1"/>
  <c r="D34" i="45"/>
  <c r="E34" i="45" s="1"/>
  <c r="D17" i="45"/>
  <c r="E17" i="45" s="1"/>
  <c r="D10" i="45"/>
  <c r="E10" i="45" s="1"/>
  <c r="D14" i="45"/>
  <c r="E14" i="45" s="1"/>
  <c r="D18" i="45"/>
  <c r="E18" i="45" s="1"/>
  <c r="D22" i="45"/>
  <c r="E22" i="45" s="1"/>
  <c r="D26" i="45"/>
  <c r="E26" i="45" s="1"/>
  <c r="D30" i="45"/>
  <c r="E30" i="45" s="1"/>
  <c r="H10" i="45"/>
  <c r="D35" i="45"/>
  <c r="E35" i="45" s="1"/>
  <c r="D13" i="45"/>
  <c r="E13" i="45" s="1"/>
  <c r="D21" i="45"/>
  <c r="E21" i="45" s="1"/>
  <c r="D29" i="45"/>
  <c r="E29" i="45" s="1"/>
  <c r="D32" i="45"/>
  <c r="E32" i="45" s="1"/>
  <c r="D11" i="45"/>
  <c r="E11" i="45" s="1"/>
  <c r="D15" i="45"/>
  <c r="E15" i="45" s="1"/>
  <c r="D19" i="45"/>
  <c r="E19" i="45" s="1"/>
  <c r="D23" i="45"/>
  <c r="E23" i="45" s="1"/>
  <c r="D27" i="45"/>
  <c r="E27" i="45" s="1"/>
  <c r="D33" i="45"/>
  <c r="E33" i="45" s="1"/>
  <c r="D17" i="44"/>
  <c r="D16" i="44"/>
  <c r="D29" i="44"/>
  <c r="D14" i="44"/>
  <c r="E14" i="44" s="1"/>
  <c r="D27" i="44"/>
  <c r="D13" i="44"/>
  <c r="D26" i="44"/>
  <c r="E26" i="44" s="1"/>
  <c r="D25" i="44"/>
  <c r="E25" i="44" s="1"/>
  <c r="D11" i="44"/>
  <c r="E11" i="44" s="1"/>
  <c r="D24" i="44"/>
  <c r="D10" i="44"/>
  <c r="E10" i="44" s="1"/>
  <c r="D35" i="44"/>
  <c r="E35" i="44" s="1"/>
  <c r="D19" i="44"/>
  <c r="D33" i="44"/>
  <c r="D21" i="44"/>
  <c r="D32" i="44"/>
  <c r="E32" i="44" s="1"/>
  <c r="D18" i="44"/>
  <c r="D31" i="44"/>
  <c r="E31" i="44" s="1"/>
  <c r="D30" i="44"/>
  <c r="D15" i="44"/>
  <c r="E15" i="44" s="1"/>
  <c r="D28" i="44"/>
  <c r="E28" i="44" s="1"/>
  <c r="D12" i="44"/>
  <c r="E12" i="44" s="1"/>
  <c r="E16" i="44"/>
  <c r="E24" i="44"/>
  <c r="C5" i="44"/>
  <c r="E22" i="44"/>
  <c r="E33" i="44"/>
  <c r="E34" i="44"/>
  <c r="E13" i="44"/>
  <c r="E21" i="44"/>
  <c r="E29" i="44"/>
  <c r="E17" i="44"/>
  <c r="E30" i="44"/>
  <c r="H10" i="44"/>
  <c r="E19" i="44"/>
  <c r="E23" i="44"/>
  <c r="E18" i="44"/>
  <c r="E27" i="44"/>
  <c r="E20" i="44"/>
  <c r="H40" i="43"/>
  <c r="J40" i="43" s="1"/>
  <c r="H39" i="43"/>
  <c r="J39" i="43" s="1"/>
  <c r="H32" i="43"/>
  <c r="J32" i="43" s="1"/>
  <c r="H31" i="43"/>
  <c r="J31" i="43" s="1"/>
  <c r="H30" i="43"/>
  <c r="J30" i="43" s="1"/>
  <c r="C15" i="43"/>
  <c r="H10" i="43" s="1"/>
  <c r="C11" i="41"/>
  <c r="E49" i="42"/>
  <c r="E50" i="42"/>
  <c r="E53" i="42"/>
  <c r="E54" i="42"/>
  <c r="E57" i="42"/>
  <c r="E58" i="42"/>
  <c r="E61" i="42"/>
  <c r="E62" i="42"/>
  <c r="E65" i="42"/>
  <c r="E66" i="42"/>
  <c r="E69" i="42"/>
  <c r="E70" i="42"/>
  <c r="E73" i="42"/>
  <c r="E74" i="42"/>
  <c r="E77" i="42"/>
  <c r="E78" i="42"/>
  <c r="E81" i="42"/>
  <c r="E82" i="42"/>
  <c r="E85" i="42"/>
  <c r="E86" i="42"/>
  <c r="E89" i="42"/>
  <c r="E90" i="42"/>
  <c r="E93" i="42"/>
  <c r="E94" i="42"/>
  <c r="E97" i="42"/>
  <c r="E98" i="42"/>
  <c r="E101" i="42"/>
  <c r="E102" i="42"/>
  <c r="D49" i="42"/>
  <c r="D50" i="42"/>
  <c r="D51" i="42"/>
  <c r="E51" i="42" s="1"/>
  <c r="D52" i="42"/>
  <c r="E52" i="42" s="1"/>
  <c r="D53" i="42"/>
  <c r="D54" i="42"/>
  <c r="D55" i="42"/>
  <c r="E55" i="42" s="1"/>
  <c r="D56" i="42"/>
  <c r="E56" i="42" s="1"/>
  <c r="D57" i="42"/>
  <c r="D58" i="42"/>
  <c r="D59" i="42"/>
  <c r="E59" i="42" s="1"/>
  <c r="D60" i="42"/>
  <c r="E60" i="42" s="1"/>
  <c r="D61" i="42"/>
  <c r="D62" i="42"/>
  <c r="D63" i="42"/>
  <c r="E63" i="42" s="1"/>
  <c r="D64" i="42"/>
  <c r="E64" i="42" s="1"/>
  <c r="D65" i="42"/>
  <c r="D66" i="42"/>
  <c r="D67" i="42"/>
  <c r="E67" i="42" s="1"/>
  <c r="D68" i="42"/>
  <c r="E68" i="42" s="1"/>
  <c r="D69" i="42"/>
  <c r="D70" i="42"/>
  <c r="D71" i="42"/>
  <c r="E71" i="42" s="1"/>
  <c r="D72" i="42"/>
  <c r="E72" i="42" s="1"/>
  <c r="D73" i="42"/>
  <c r="D74" i="42"/>
  <c r="D75" i="42"/>
  <c r="E75" i="42" s="1"/>
  <c r="D76" i="42"/>
  <c r="E76" i="42" s="1"/>
  <c r="D77" i="42"/>
  <c r="D78" i="42"/>
  <c r="D79" i="42"/>
  <c r="E79" i="42" s="1"/>
  <c r="D80" i="42"/>
  <c r="E80" i="42" s="1"/>
  <c r="D81" i="42"/>
  <c r="D82" i="42"/>
  <c r="D83" i="42"/>
  <c r="E83" i="42" s="1"/>
  <c r="D84" i="42"/>
  <c r="E84" i="42" s="1"/>
  <c r="D85" i="42"/>
  <c r="D86" i="42"/>
  <c r="D87" i="42"/>
  <c r="E87" i="42" s="1"/>
  <c r="D88" i="42"/>
  <c r="E88" i="42" s="1"/>
  <c r="D89" i="42"/>
  <c r="D90" i="42"/>
  <c r="D91" i="42"/>
  <c r="E91" i="42" s="1"/>
  <c r="D92" i="42"/>
  <c r="E92" i="42" s="1"/>
  <c r="D93" i="42"/>
  <c r="D94" i="42"/>
  <c r="D95" i="42"/>
  <c r="E95" i="42" s="1"/>
  <c r="D96" i="42"/>
  <c r="E96" i="42" s="1"/>
  <c r="D97" i="42"/>
  <c r="D98" i="42"/>
  <c r="D99" i="42"/>
  <c r="E99" i="42" s="1"/>
  <c r="D100" i="42"/>
  <c r="E100" i="42" s="1"/>
  <c r="D101" i="42"/>
  <c r="D102" i="42"/>
  <c r="D48" i="42"/>
  <c r="E48" i="42" s="1"/>
  <c r="C50" i="42"/>
  <c r="C54" i="42"/>
  <c r="C58" i="42"/>
  <c r="C62" i="42"/>
  <c r="C66" i="42"/>
  <c r="C70" i="42"/>
  <c r="C74" i="42"/>
  <c r="C78" i="42"/>
  <c r="C82" i="42"/>
  <c r="C86" i="42"/>
  <c r="C90" i="42"/>
  <c r="C94" i="42"/>
  <c r="C98" i="42"/>
  <c r="C102" i="42"/>
  <c r="C12" i="42"/>
  <c r="C7" i="42"/>
  <c r="C51" i="42" s="1"/>
  <c r="C8" i="42"/>
  <c r="C11" i="42"/>
  <c r="C14" i="42"/>
  <c r="C18" i="42"/>
  <c r="F18" i="42" s="1"/>
  <c r="I43" i="42"/>
  <c r="K43" i="42" s="1"/>
  <c r="I42" i="42"/>
  <c r="K42" i="42" s="1"/>
  <c r="I41" i="42"/>
  <c r="K41" i="42" s="1"/>
  <c r="I40" i="42"/>
  <c r="K40" i="42" s="1"/>
  <c r="I39" i="42"/>
  <c r="K39" i="42" s="1"/>
  <c r="I38" i="42"/>
  <c r="K38" i="42" s="1"/>
  <c r="I12" i="42"/>
  <c r="I13" i="42" s="1"/>
  <c r="E54" i="30"/>
  <c r="E55" i="30"/>
  <c r="E64" i="30"/>
  <c r="E72" i="30"/>
  <c r="E80" i="30"/>
  <c r="E88" i="30"/>
  <c r="E96" i="30"/>
  <c r="D48" i="30"/>
  <c r="E48" i="30" s="1"/>
  <c r="D49" i="30"/>
  <c r="E49" i="30" s="1"/>
  <c r="D50" i="30"/>
  <c r="E50" i="30" s="1"/>
  <c r="D51" i="30"/>
  <c r="E51" i="30" s="1"/>
  <c r="D52" i="30"/>
  <c r="E52" i="30" s="1"/>
  <c r="D53" i="30"/>
  <c r="E53" i="30" s="1"/>
  <c r="D54" i="30"/>
  <c r="D55" i="30"/>
  <c r="D56" i="30"/>
  <c r="E56" i="30" s="1"/>
  <c r="D57" i="30"/>
  <c r="E57" i="30" s="1"/>
  <c r="D58" i="30"/>
  <c r="E58" i="30" s="1"/>
  <c r="D59" i="30"/>
  <c r="E59" i="30" s="1"/>
  <c r="D60" i="30"/>
  <c r="E60" i="30" s="1"/>
  <c r="D61" i="30"/>
  <c r="E61" i="30" s="1"/>
  <c r="D62" i="30"/>
  <c r="E62" i="30" s="1"/>
  <c r="D63" i="30"/>
  <c r="E63" i="30" s="1"/>
  <c r="D64" i="30"/>
  <c r="D65" i="30"/>
  <c r="E65" i="30" s="1"/>
  <c r="D66" i="30"/>
  <c r="E66" i="30" s="1"/>
  <c r="D67" i="30"/>
  <c r="E67" i="30" s="1"/>
  <c r="D68" i="30"/>
  <c r="E68" i="30" s="1"/>
  <c r="D69" i="30"/>
  <c r="E69" i="30" s="1"/>
  <c r="D70" i="30"/>
  <c r="E70" i="30" s="1"/>
  <c r="D71" i="30"/>
  <c r="E71" i="30" s="1"/>
  <c r="D72" i="30"/>
  <c r="D73" i="30"/>
  <c r="E73" i="30" s="1"/>
  <c r="D74" i="30"/>
  <c r="E74" i="30" s="1"/>
  <c r="D75" i="30"/>
  <c r="E75" i="30" s="1"/>
  <c r="D76" i="30"/>
  <c r="E76" i="30" s="1"/>
  <c r="D77" i="30"/>
  <c r="E77" i="30" s="1"/>
  <c r="D78" i="30"/>
  <c r="E78" i="30" s="1"/>
  <c r="D79" i="30"/>
  <c r="E79" i="30" s="1"/>
  <c r="D80" i="30"/>
  <c r="D81" i="30"/>
  <c r="E81" i="30" s="1"/>
  <c r="D82" i="30"/>
  <c r="E82" i="30" s="1"/>
  <c r="D83" i="30"/>
  <c r="E83" i="30" s="1"/>
  <c r="D84" i="30"/>
  <c r="E84" i="30" s="1"/>
  <c r="D85" i="30"/>
  <c r="E85" i="30" s="1"/>
  <c r="D86" i="30"/>
  <c r="E86" i="30" s="1"/>
  <c r="D87" i="30"/>
  <c r="E87" i="30" s="1"/>
  <c r="D88" i="30"/>
  <c r="D89" i="30"/>
  <c r="E89" i="30" s="1"/>
  <c r="D90" i="30"/>
  <c r="E90" i="30" s="1"/>
  <c r="D91" i="30"/>
  <c r="E91" i="30" s="1"/>
  <c r="D92" i="30"/>
  <c r="E92" i="30" s="1"/>
  <c r="D93" i="30"/>
  <c r="E93" i="30" s="1"/>
  <c r="D94" i="30"/>
  <c r="E94" i="30" s="1"/>
  <c r="D95" i="30"/>
  <c r="E95" i="30" s="1"/>
  <c r="D96" i="30"/>
  <c r="D97" i="30"/>
  <c r="E97" i="30" s="1"/>
  <c r="D98" i="30"/>
  <c r="E98" i="30" s="1"/>
  <c r="D99" i="30"/>
  <c r="E99" i="30" s="1"/>
  <c r="D100" i="30"/>
  <c r="E100" i="30" s="1"/>
  <c r="D101" i="30"/>
  <c r="E101" i="30" s="1"/>
  <c r="D47" i="30"/>
  <c r="E47" i="30" s="1"/>
  <c r="D48" i="25"/>
  <c r="D49" i="25"/>
  <c r="D50" i="25"/>
  <c r="D51" i="25"/>
  <c r="D52" i="25"/>
  <c r="D53" i="25"/>
  <c r="D54" i="25"/>
  <c r="D55" i="25"/>
  <c r="D56" i="25"/>
  <c r="D57" i="25"/>
  <c r="D58" i="25"/>
  <c r="D59" i="25"/>
  <c r="D60" i="25"/>
  <c r="D61" i="25"/>
  <c r="D62" i="25"/>
  <c r="D63" i="25"/>
  <c r="D64" i="25"/>
  <c r="D65" i="25"/>
  <c r="D66" i="25"/>
  <c r="D67" i="25"/>
  <c r="D68" i="25"/>
  <c r="D69" i="25"/>
  <c r="D70" i="25"/>
  <c r="D71" i="25"/>
  <c r="D72" i="25"/>
  <c r="D73" i="25"/>
  <c r="D74" i="25"/>
  <c r="D75" i="25"/>
  <c r="D76" i="25"/>
  <c r="D77" i="25"/>
  <c r="D78" i="25"/>
  <c r="D79" i="25"/>
  <c r="D80" i="25"/>
  <c r="D81" i="25"/>
  <c r="D82" i="25"/>
  <c r="D83" i="25"/>
  <c r="D84" i="25"/>
  <c r="D85" i="25"/>
  <c r="D86" i="25"/>
  <c r="D87" i="25"/>
  <c r="D88" i="25"/>
  <c r="D89" i="25"/>
  <c r="D90" i="25"/>
  <c r="D91" i="25"/>
  <c r="D92" i="25"/>
  <c r="D93" i="25"/>
  <c r="D94" i="25"/>
  <c r="D95" i="25"/>
  <c r="D96" i="25"/>
  <c r="D97" i="25"/>
  <c r="D98" i="25"/>
  <c r="D99" i="25"/>
  <c r="D100" i="25"/>
  <c r="D101" i="25"/>
  <c r="D47" i="25"/>
  <c r="D47" i="28"/>
  <c r="D48" i="28"/>
  <c r="D49" i="28"/>
  <c r="D50" i="28"/>
  <c r="D51" i="28"/>
  <c r="D52" i="28"/>
  <c r="D53" i="28"/>
  <c r="D54" i="28"/>
  <c r="D55" i="28"/>
  <c r="D56" i="28"/>
  <c r="D57" i="28"/>
  <c r="D58" i="28"/>
  <c r="D59" i="28"/>
  <c r="D60" i="28"/>
  <c r="D61" i="28"/>
  <c r="D62" i="28"/>
  <c r="D63" i="28"/>
  <c r="D64" i="28"/>
  <c r="D65" i="28"/>
  <c r="D66" i="28"/>
  <c r="D67" i="28"/>
  <c r="D68" i="28"/>
  <c r="D69" i="28"/>
  <c r="D70" i="28"/>
  <c r="D71" i="28"/>
  <c r="D72" i="28"/>
  <c r="D73" i="28"/>
  <c r="D74" i="28"/>
  <c r="D75" i="28"/>
  <c r="D76" i="28"/>
  <c r="D77" i="28"/>
  <c r="D78" i="28"/>
  <c r="D79" i="28"/>
  <c r="D80" i="28"/>
  <c r="D81" i="28"/>
  <c r="D82" i="28"/>
  <c r="D83" i="28"/>
  <c r="D84" i="28"/>
  <c r="D85" i="28"/>
  <c r="D86" i="28"/>
  <c r="D87" i="28"/>
  <c r="D88" i="28"/>
  <c r="D89" i="28"/>
  <c r="D90" i="28"/>
  <c r="D91" i="28"/>
  <c r="D92" i="28"/>
  <c r="D93" i="28"/>
  <c r="D94" i="28"/>
  <c r="D95" i="28"/>
  <c r="D96" i="28"/>
  <c r="D97" i="28"/>
  <c r="D98" i="28"/>
  <c r="D99" i="28"/>
  <c r="D100" i="28"/>
  <c r="D46" i="28"/>
  <c r="C5" i="28"/>
  <c r="D48" i="27"/>
  <c r="D49" i="27"/>
  <c r="D50" i="27"/>
  <c r="D51" i="27"/>
  <c r="D52" i="27"/>
  <c r="D53" i="27"/>
  <c r="D54" i="27"/>
  <c r="D55" i="27"/>
  <c r="D56" i="27"/>
  <c r="D57" i="27"/>
  <c r="D58" i="27"/>
  <c r="D59" i="27"/>
  <c r="D60" i="27"/>
  <c r="D61" i="27"/>
  <c r="D62" i="27"/>
  <c r="D63" i="27"/>
  <c r="D64" i="27"/>
  <c r="D65" i="27"/>
  <c r="D66" i="27"/>
  <c r="D67" i="27"/>
  <c r="D68" i="27"/>
  <c r="D69" i="27"/>
  <c r="D70" i="27"/>
  <c r="D71" i="27"/>
  <c r="D72" i="27"/>
  <c r="D73" i="27"/>
  <c r="D74" i="27"/>
  <c r="D75" i="27"/>
  <c r="D76" i="27"/>
  <c r="D77" i="27"/>
  <c r="D78" i="27"/>
  <c r="D79" i="27"/>
  <c r="D80" i="27"/>
  <c r="D81" i="27"/>
  <c r="D82" i="27"/>
  <c r="D83" i="27"/>
  <c r="D84" i="27"/>
  <c r="D85" i="27"/>
  <c r="D86" i="27"/>
  <c r="D87" i="27"/>
  <c r="D88" i="27"/>
  <c r="D89" i="27"/>
  <c r="D90" i="27"/>
  <c r="D91" i="27"/>
  <c r="D92" i="27"/>
  <c r="D93" i="27"/>
  <c r="D94" i="27"/>
  <c r="D95" i="27"/>
  <c r="D96" i="27"/>
  <c r="D97" i="27"/>
  <c r="D98" i="27"/>
  <c r="D99" i="27"/>
  <c r="D100" i="27"/>
  <c r="D101" i="27"/>
  <c r="D47" i="27"/>
  <c r="D49" i="31"/>
  <c r="E49" i="31" s="1"/>
  <c r="D50" i="31"/>
  <c r="E50" i="31" s="1"/>
  <c r="D51" i="31"/>
  <c r="E51" i="31" s="1"/>
  <c r="D52" i="31"/>
  <c r="E52" i="31" s="1"/>
  <c r="D53" i="31"/>
  <c r="E53" i="31" s="1"/>
  <c r="D54" i="31"/>
  <c r="E54" i="31" s="1"/>
  <c r="D55" i="31"/>
  <c r="E55" i="31" s="1"/>
  <c r="D56" i="31"/>
  <c r="E56" i="31" s="1"/>
  <c r="D57" i="31"/>
  <c r="E57" i="31" s="1"/>
  <c r="D58" i="31"/>
  <c r="E58" i="31" s="1"/>
  <c r="D59" i="31"/>
  <c r="E59" i="31" s="1"/>
  <c r="D60" i="31"/>
  <c r="E60" i="31" s="1"/>
  <c r="D61" i="31"/>
  <c r="E61" i="31" s="1"/>
  <c r="D62" i="31"/>
  <c r="E62" i="31" s="1"/>
  <c r="D63" i="31"/>
  <c r="E63" i="31" s="1"/>
  <c r="D64" i="31"/>
  <c r="E64" i="31" s="1"/>
  <c r="D65" i="31"/>
  <c r="E65" i="31" s="1"/>
  <c r="D66" i="31"/>
  <c r="E66" i="31" s="1"/>
  <c r="D67" i="31"/>
  <c r="E67" i="31" s="1"/>
  <c r="D68" i="31"/>
  <c r="E68" i="31" s="1"/>
  <c r="D69" i="31"/>
  <c r="E69" i="31" s="1"/>
  <c r="D70" i="31"/>
  <c r="E70" i="31" s="1"/>
  <c r="D71" i="31"/>
  <c r="E71" i="31" s="1"/>
  <c r="D72" i="31"/>
  <c r="E72" i="31" s="1"/>
  <c r="D73" i="31"/>
  <c r="E73" i="31" s="1"/>
  <c r="D74" i="31"/>
  <c r="E74" i="31" s="1"/>
  <c r="D75" i="31"/>
  <c r="E75" i="31" s="1"/>
  <c r="D76" i="31"/>
  <c r="E76" i="31" s="1"/>
  <c r="D77" i="31"/>
  <c r="E77" i="31" s="1"/>
  <c r="D78" i="31"/>
  <c r="E78" i="31" s="1"/>
  <c r="D79" i="31"/>
  <c r="E79" i="31" s="1"/>
  <c r="D80" i="31"/>
  <c r="E80" i="31" s="1"/>
  <c r="D81" i="31"/>
  <c r="E81" i="31" s="1"/>
  <c r="D82" i="31"/>
  <c r="E82" i="31" s="1"/>
  <c r="D83" i="31"/>
  <c r="E83" i="31" s="1"/>
  <c r="D84" i="31"/>
  <c r="E84" i="31" s="1"/>
  <c r="D85" i="31"/>
  <c r="E85" i="31" s="1"/>
  <c r="D86" i="31"/>
  <c r="E86" i="31" s="1"/>
  <c r="D87" i="31"/>
  <c r="E87" i="31" s="1"/>
  <c r="D88" i="31"/>
  <c r="E88" i="31" s="1"/>
  <c r="D89" i="31"/>
  <c r="E89" i="31" s="1"/>
  <c r="D90" i="31"/>
  <c r="E90" i="31" s="1"/>
  <c r="D91" i="31"/>
  <c r="E91" i="31" s="1"/>
  <c r="D92" i="31"/>
  <c r="E92" i="31" s="1"/>
  <c r="D93" i="31"/>
  <c r="E93" i="31" s="1"/>
  <c r="D94" i="31"/>
  <c r="E94" i="31" s="1"/>
  <c r="D95" i="31"/>
  <c r="E95" i="31" s="1"/>
  <c r="D96" i="31"/>
  <c r="E96" i="31" s="1"/>
  <c r="D97" i="31"/>
  <c r="E97" i="31" s="1"/>
  <c r="D98" i="31"/>
  <c r="E98" i="31" s="1"/>
  <c r="D99" i="31"/>
  <c r="E99" i="31" s="1"/>
  <c r="D100" i="31"/>
  <c r="E100" i="31" s="1"/>
  <c r="D101" i="31"/>
  <c r="E101" i="31" s="1"/>
  <c r="D102" i="31"/>
  <c r="E102" i="31" s="1"/>
  <c r="D48" i="31"/>
  <c r="E48" i="31" s="1"/>
  <c r="D49" i="41"/>
  <c r="D50" i="41"/>
  <c r="D51" i="41"/>
  <c r="D52" i="41"/>
  <c r="D53" i="41"/>
  <c r="D54" i="41"/>
  <c r="D55" i="41"/>
  <c r="D56" i="41"/>
  <c r="D57" i="41"/>
  <c r="D58" i="41"/>
  <c r="D59" i="41"/>
  <c r="D60" i="41"/>
  <c r="D61" i="41"/>
  <c r="D62" i="41"/>
  <c r="D63" i="41"/>
  <c r="D64" i="41"/>
  <c r="D65" i="41"/>
  <c r="D66" i="41"/>
  <c r="D67" i="41"/>
  <c r="D68" i="41"/>
  <c r="D69" i="41"/>
  <c r="D70" i="41"/>
  <c r="D71" i="41"/>
  <c r="D72" i="41"/>
  <c r="D73" i="41"/>
  <c r="D74" i="41"/>
  <c r="D75" i="41"/>
  <c r="D76" i="41"/>
  <c r="D77" i="41"/>
  <c r="D78" i="41"/>
  <c r="D79" i="41"/>
  <c r="D80" i="41"/>
  <c r="D81" i="41"/>
  <c r="D82" i="41"/>
  <c r="D83" i="41"/>
  <c r="D84" i="41"/>
  <c r="D85" i="41"/>
  <c r="D86" i="41"/>
  <c r="D87" i="41"/>
  <c r="D88" i="41"/>
  <c r="D89" i="41"/>
  <c r="D90" i="41"/>
  <c r="D91" i="41"/>
  <c r="D92" i="41"/>
  <c r="D93" i="41"/>
  <c r="D94" i="41"/>
  <c r="D95" i="41"/>
  <c r="D96" i="41"/>
  <c r="D97" i="41"/>
  <c r="D98" i="41"/>
  <c r="D99" i="41"/>
  <c r="D100" i="41"/>
  <c r="D101" i="41"/>
  <c r="D102" i="41"/>
  <c r="D48" i="41"/>
  <c r="I43" i="41"/>
  <c r="K43" i="41" s="1"/>
  <c r="I42" i="41"/>
  <c r="K42" i="41" s="1"/>
  <c r="K41" i="41"/>
  <c r="I41" i="41"/>
  <c r="I40" i="41"/>
  <c r="K40" i="41" s="1"/>
  <c r="I39" i="41"/>
  <c r="K39" i="41" s="1"/>
  <c r="I38" i="41"/>
  <c r="K38" i="41" s="1"/>
  <c r="C18" i="41"/>
  <c r="I12" i="41"/>
  <c r="I13" i="41" s="1"/>
  <c r="C10" i="41"/>
  <c r="C13" i="41" s="1"/>
  <c r="B19" i="41" s="1"/>
  <c r="C7" i="41"/>
  <c r="C6" i="41"/>
  <c r="C8" i="31"/>
  <c r="C7" i="27"/>
  <c r="C8" i="25"/>
  <c r="H10" i="39"/>
  <c r="D13" i="39"/>
  <c r="D14" i="39"/>
  <c r="D17" i="39"/>
  <c r="D19" i="39"/>
  <c r="D21" i="39"/>
  <c r="D22" i="39"/>
  <c r="D25" i="39"/>
  <c r="D27" i="39"/>
  <c r="D29" i="39"/>
  <c r="D30" i="39"/>
  <c r="D34" i="39"/>
  <c r="D35" i="39"/>
  <c r="C35" i="39"/>
  <c r="C34" i="39"/>
  <c r="H33" i="39"/>
  <c r="J33" i="39" s="1"/>
  <c r="C33" i="39"/>
  <c r="H32" i="39"/>
  <c r="J32" i="39" s="1"/>
  <c r="C32" i="39"/>
  <c r="D32" i="39" s="1"/>
  <c r="H31" i="39"/>
  <c r="J31" i="39" s="1"/>
  <c r="C31" i="39"/>
  <c r="D31" i="39" s="1"/>
  <c r="H30" i="39"/>
  <c r="J30" i="39" s="1"/>
  <c r="C30" i="39"/>
  <c r="C29" i="39"/>
  <c r="C28" i="39"/>
  <c r="C27" i="39"/>
  <c r="C26" i="39"/>
  <c r="D26" i="39" s="1"/>
  <c r="C25" i="39"/>
  <c r="C24" i="39"/>
  <c r="D24" i="39" s="1"/>
  <c r="C23" i="39"/>
  <c r="D23" i="39" s="1"/>
  <c r="C22" i="39"/>
  <c r="C21" i="39"/>
  <c r="C20" i="39"/>
  <c r="C19" i="39"/>
  <c r="C18" i="39"/>
  <c r="D18" i="39" s="1"/>
  <c r="C17" i="39"/>
  <c r="C16" i="39"/>
  <c r="D16" i="39" s="1"/>
  <c r="C15" i="39"/>
  <c r="D15" i="39" s="1"/>
  <c r="E15" i="39" s="1"/>
  <c r="C14" i="39"/>
  <c r="C13" i="39"/>
  <c r="C12" i="39"/>
  <c r="C11" i="39"/>
  <c r="D11" i="39" s="1"/>
  <c r="C10" i="39"/>
  <c r="H10" i="38"/>
  <c r="H33" i="38"/>
  <c r="J33" i="38" s="1"/>
  <c r="C34" i="38"/>
  <c r="D34" i="38" s="1"/>
  <c r="H32" i="38"/>
  <c r="J32" i="38" s="1"/>
  <c r="H31" i="38"/>
  <c r="J31" i="38" s="1"/>
  <c r="C31" i="38"/>
  <c r="D31" i="38" s="1"/>
  <c r="H30" i="38"/>
  <c r="J30" i="38" s="1"/>
  <c r="C30" i="38"/>
  <c r="D30" i="38" s="1"/>
  <c r="C29" i="38"/>
  <c r="C26" i="38"/>
  <c r="D26" i="38" s="1"/>
  <c r="C24" i="38"/>
  <c r="D24" i="38" s="1"/>
  <c r="C23" i="38"/>
  <c r="D23" i="38" s="1"/>
  <c r="C22" i="38"/>
  <c r="D22" i="38" s="1"/>
  <c r="C21" i="38"/>
  <c r="D21" i="38" s="1"/>
  <c r="C18" i="38"/>
  <c r="D18" i="38" s="1"/>
  <c r="C17" i="38"/>
  <c r="D17" i="38" s="1"/>
  <c r="C16" i="38"/>
  <c r="D16" i="38" s="1"/>
  <c r="C15" i="38"/>
  <c r="C14" i="38"/>
  <c r="D14" i="38" s="1"/>
  <c r="C13" i="38"/>
  <c r="D13" i="38" s="1"/>
  <c r="C10" i="38"/>
  <c r="D10" i="38" s="1"/>
  <c r="C32" i="38"/>
  <c r="D32" i="38" s="1"/>
  <c r="C12" i="31"/>
  <c r="I12" i="31"/>
  <c r="I13" i="31" s="1"/>
  <c r="B49" i="36"/>
  <c r="B50" i="36" s="1"/>
  <c r="C50" i="36" s="1"/>
  <c r="C5" i="36"/>
  <c r="C49" i="36" s="1"/>
  <c r="H34" i="36"/>
  <c r="J34" i="36" s="1"/>
  <c r="H33" i="36"/>
  <c r="J33" i="36" s="1"/>
  <c r="H32" i="36"/>
  <c r="J32" i="36" s="1"/>
  <c r="H31" i="36"/>
  <c r="J31" i="36" s="1"/>
  <c r="H30" i="36"/>
  <c r="J30" i="36" s="1"/>
  <c r="C15" i="36"/>
  <c r="I45" i="47" l="1"/>
  <c r="K45" i="47" s="1"/>
  <c r="C13" i="47"/>
  <c r="C16" i="47" s="1"/>
  <c r="B20" i="47" s="1"/>
  <c r="C19" i="47"/>
  <c r="I10" i="47"/>
  <c r="C9" i="47"/>
  <c r="I45" i="46"/>
  <c r="K45" i="46" s="1"/>
  <c r="C6" i="46"/>
  <c r="F6" i="46"/>
  <c r="C12" i="46"/>
  <c r="C15" i="46" s="1"/>
  <c r="B19" i="46" s="1"/>
  <c r="D19" i="46" s="1"/>
  <c r="C18" i="46"/>
  <c r="I9" i="46"/>
  <c r="C31" i="43"/>
  <c r="D31" i="43" s="1"/>
  <c r="C29" i="43"/>
  <c r="D29" i="43" s="1"/>
  <c r="C30" i="43"/>
  <c r="D30" i="43" s="1"/>
  <c r="C37" i="43"/>
  <c r="C22" i="43"/>
  <c r="C43" i="43"/>
  <c r="D43" i="43" s="1"/>
  <c r="C21" i="43"/>
  <c r="D21" i="43" s="1"/>
  <c r="C101" i="42"/>
  <c r="C93" i="42"/>
  <c r="C89" i="42"/>
  <c r="C81" i="42"/>
  <c r="C77" i="42"/>
  <c r="C69" i="42"/>
  <c r="C65" i="42"/>
  <c r="C57" i="42"/>
  <c r="C49" i="42"/>
  <c r="C100" i="42"/>
  <c r="C96" i="42"/>
  <c r="C92" i="42"/>
  <c r="C88" i="42"/>
  <c r="C84" i="42"/>
  <c r="C80" i="42"/>
  <c r="C76" i="42"/>
  <c r="C72" i="42"/>
  <c r="C68" i="42"/>
  <c r="C64" i="42"/>
  <c r="C60" i="42"/>
  <c r="C56" i="42"/>
  <c r="C52" i="42"/>
  <c r="C97" i="42"/>
  <c r="C85" i="42"/>
  <c r="C73" i="42"/>
  <c r="C61" i="42"/>
  <c r="C53" i="42"/>
  <c r="C48" i="42"/>
  <c r="C99" i="42"/>
  <c r="C95" i="42"/>
  <c r="C91" i="42"/>
  <c r="C87" i="42"/>
  <c r="C83" i="42"/>
  <c r="C79" i="42"/>
  <c r="C75" i="42"/>
  <c r="C71" i="42"/>
  <c r="C67" i="42"/>
  <c r="C63" i="42"/>
  <c r="C59" i="42"/>
  <c r="C55" i="42"/>
  <c r="C10" i="36"/>
  <c r="C11" i="36"/>
  <c r="F18" i="41"/>
  <c r="B19" i="42"/>
  <c r="I44" i="42"/>
  <c r="K44" i="42" s="1"/>
  <c r="I9" i="42"/>
  <c r="E18" i="41"/>
  <c r="B20" i="41"/>
  <c r="C19" i="41"/>
  <c r="I9" i="41"/>
  <c r="E10" i="39"/>
  <c r="E19" i="39"/>
  <c r="E27" i="39"/>
  <c r="D33" i="39"/>
  <c r="E33" i="39" s="1"/>
  <c r="E22" i="39"/>
  <c r="E30" i="39"/>
  <c r="E34" i="39"/>
  <c r="E35" i="39"/>
  <c r="D10" i="39"/>
  <c r="E17" i="39"/>
  <c r="E25" i="39"/>
  <c r="D28" i="39"/>
  <c r="E28" i="39" s="1"/>
  <c r="D20" i="39"/>
  <c r="E20" i="39" s="1"/>
  <c r="D12" i="39"/>
  <c r="E12" i="39" s="1"/>
  <c r="E32" i="39"/>
  <c r="E13" i="39"/>
  <c r="E14" i="39"/>
  <c r="E21" i="39"/>
  <c r="E29" i="39"/>
  <c r="E23" i="39"/>
  <c r="E16" i="39"/>
  <c r="E24" i="39"/>
  <c r="E31" i="39"/>
  <c r="E18" i="39"/>
  <c r="E26" i="39"/>
  <c r="E11" i="39"/>
  <c r="D15" i="38"/>
  <c r="E15" i="38" s="1"/>
  <c r="E30" i="38"/>
  <c r="D29" i="38"/>
  <c r="E29" i="38" s="1"/>
  <c r="E16" i="38"/>
  <c r="E10" i="38"/>
  <c r="E21" i="38"/>
  <c r="E14" i="38"/>
  <c r="E24" i="38"/>
  <c r="E26" i="38"/>
  <c r="E34" i="38"/>
  <c r="E17" i="38"/>
  <c r="E32" i="38"/>
  <c r="E18" i="38"/>
  <c r="E31" i="38"/>
  <c r="E22" i="38"/>
  <c r="E13" i="38"/>
  <c r="E23" i="38"/>
  <c r="C11" i="38"/>
  <c r="C19" i="38"/>
  <c r="C27" i="38"/>
  <c r="C33" i="38"/>
  <c r="C25" i="38"/>
  <c r="C35" i="38"/>
  <c r="C12" i="38"/>
  <c r="C20" i="38"/>
  <c r="C28" i="38"/>
  <c r="B51" i="36"/>
  <c r="B52" i="36" s="1"/>
  <c r="B53" i="36" s="1"/>
  <c r="B54" i="36" s="1"/>
  <c r="B55" i="36" s="1"/>
  <c r="B56" i="36" s="1"/>
  <c r="B57" i="36" s="1"/>
  <c r="B58" i="36" s="1"/>
  <c r="B59" i="36" s="1"/>
  <c r="B60" i="36" s="1"/>
  <c r="B61" i="36" s="1"/>
  <c r="B62" i="36" s="1"/>
  <c r="B63" i="36" s="1"/>
  <c r="B64" i="36" s="1"/>
  <c r="B65" i="36" s="1"/>
  <c r="B66" i="36" s="1"/>
  <c r="B67" i="36" s="1"/>
  <c r="B68" i="36" s="1"/>
  <c r="B69" i="36" s="1"/>
  <c r="B70" i="36" s="1"/>
  <c r="B71" i="36" s="1"/>
  <c r="B72" i="36" s="1"/>
  <c r="B73" i="36" s="1"/>
  <c r="B74" i="36" s="1"/>
  <c r="D49" i="36"/>
  <c r="E49" i="36" s="1"/>
  <c r="C43" i="36"/>
  <c r="C39" i="36"/>
  <c r="C35" i="36"/>
  <c r="D35" i="36" s="1"/>
  <c r="E35" i="36" s="1"/>
  <c r="C31" i="36"/>
  <c r="D31" i="36" s="1"/>
  <c r="E31" i="36" s="1"/>
  <c r="C22" i="36"/>
  <c r="C19" i="36"/>
  <c r="D19" i="36" s="1"/>
  <c r="E19" i="36" s="1"/>
  <c r="C41" i="36"/>
  <c r="D41" i="36" s="1"/>
  <c r="E41" i="36" s="1"/>
  <c r="C37" i="36"/>
  <c r="D37" i="36" s="1"/>
  <c r="E37" i="36" s="1"/>
  <c r="C33" i="36"/>
  <c r="C27" i="36"/>
  <c r="D27" i="36" s="1"/>
  <c r="E27" i="36" s="1"/>
  <c r="C44" i="36"/>
  <c r="D44" i="36" s="1"/>
  <c r="E44" i="36" s="1"/>
  <c r="C40" i="36"/>
  <c r="D40" i="36" s="1"/>
  <c r="E40" i="36" s="1"/>
  <c r="C36" i="36"/>
  <c r="C32" i="36"/>
  <c r="D32" i="36" s="1"/>
  <c r="E32" i="36" s="1"/>
  <c r="C25" i="36"/>
  <c r="D25" i="36" s="1"/>
  <c r="E25" i="36" s="1"/>
  <c r="C42" i="36"/>
  <c r="D42" i="36" s="1"/>
  <c r="E42" i="36" s="1"/>
  <c r="C38" i="36"/>
  <c r="C34" i="36"/>
  <c r="C29" i="36"/>
  <c r="D29" i="36" s="1"/>
  <c r="E29" i="36" s="1"/>
  <c r="C23" i="36"/>
  <c r="D23" i="36" s="1"/>
  <c r="E23" i="36" s="1"/>
  <c r="C30" i="36"/>
  <c r="C26" i="36"/>
  <c r="D26" i="36" s="1"/>
  <c r="E26" i="36" s="1"/>
  <c r="C28" i="36"/>
  <c r="D28" i="36" s="1"/>
  <c r="E28" i="36" s="1"/>
  <c r="D50" i="36"/>
  <c r="E50" i="36" s="1"/>
  <c r="C24" i="36"/>
  <c r="C20" i="36"/>
  <c r="D20" i="36" s="1"/>
  <c r="E20" i="36" s="1"/>
  <c r="D43" i="36"/>
  <c r="E43" i="36" s="1"/>
  <c r="D38" i="36"/>
  <c r="E38" i="36" s="1"/>
  <c r="D30" i="36"/>
  <c r="E30" i="36" s="1"/>
  <c r="D22" i="36"/>
  <c r="E22" i="36" s="1"/>
  <c r="D33" i="36"/>
  <c r="E33" i="36" s="1"/>
  <c r="D34" i="36"/>
  <c r="E34" i="36" s="1"/>
  <c r="D36" i="36"/>
  <c r="E36" i="36" s="1"/>
  <c r="D24" i="36"/>
  <c r="E24" i="36" s="1"/>
  <c r="D39" i="36"/>
  <c r="E39" i="36" s="1"/>
  <c r="H10" i="36"/>
  <c r="F19" i="47" l="1"/>
  <c r="E19" i="47"/>
  <c r="C10" i="47"/>
  <c r="B21" i="47"/>
  <c r="C20" i="47"/>
  <c r="F18" i="46"/>
  <c r="E18" i="46"/>
  <c r="C19" i="46"/>
  <c r="B20" i="46"/>
  <c r="D20" i="46" s="1"/>
  <c r="D22" i="43"/>
  <c r="E22" i="43" s="1"/>
  <c r="D37" i="43"/>
  <c r="E37" i="43" s="1"/>
  <c r="E43" i="43"/>
  <c r="E31" i="43"/>
  <c r="E30" i="43"/>
  <c r="E21" i="43"/>
  <c r="E29" i="43"/>
  <c r="C40" i="43"/>
  <c r="C23" i="43"/>
  <c r="C39" i="43"/>
  <c r="C41" i="43"/>
  <c r="C33" i="43"/>
  <c r="C28" i="43"/>
  <c r="C34" i="43"/>
  <c r="C26" i="43"/>
  <c r="C27" i="43"/>
  <c r="C32" i="43"/>
  <c r="C36" i="43"/>
  <c r="C24" i="43"/>
  <c r="C38" i="43"/>
  <c r="C42" i="43"/>
  <c r="C25" i="43"/>
  <c r="C35" i="43"/>
  <c r="D19" i="43"/>
  <c r="C21" i="36"/>
  <c r="D21" i="36" s="1"/>
  <c r="E21" i="36" s="1"/>
  <c r="F19" i="41"/>
  <c r="E19" i="41"/>
  <c r="B20" i="42"/>
  <c r="C20" i="42" s="1"/>
  <c r="F20" i="42" s="1"/>
  <c r="C19" i="42"/>
  <c r="F19" i="42" s="1"/>
  <c r="E18" i="42"/>
  <c r="C20" i="41"/>
  <c r="B21" i="41"/>
  <c r="D27" i="38"/>
  <c r="E27" i="38" s="1"/>
  <c r="D19" i="38"/>
  <c r="E19" i="38" s="1"/>
  <c r="D28" i="38"/>
  <c r="E28" i="38" s="1"/>
  <c r="D11" i="38"/>
  <c r="E11" i="38" s="1"/>
  <c r="D20" i="38"/>
  <c r="E20" i="38" s="1"/>
  <c r="D12" i="38"/>
  <c r="E12" i="38" s="1"/>
  <c r="D35" i="38"/>
  <c r="E35" i="38" s="1"/>
  <c r="D25" i="38"/>
  <c r="E25" i="38" s="1"/>
  <c r="D33" i="38"/>
  <c r="E33" i="38" s="1"/>
  <c r="C51" i="36"/>
  <c r="D51" i="36" s="1"/>
  <c r="E51" i="36" s="1"/>
  <c r="F20" i="47" l="1"/>
  <c r="E20" i="47"/>
  <c r="C21" i="47"/>
  <c r="B22" i="47"/>
  <c r="F19" i="46"/>
  <c r="E19" i="46"/>
  <c r="B21" i="46"/>
  <c r="D21" i="46" s="1"/>
  <c r="C20" i="46"/>
  <c r="D41" i="43"/>
  <c r="E41" i="43" s="1"/>
  <c r="D20" i="43"/>
  <c r="E20" i="43" s="1"/>
  <c r="D27" i="43"/>
  <c r="E27" i="43" s="1"/>
  <c r="D35" i="43"/>
  <c r="E35" i="43" s="1"/>
  <c r="D39" i="43"/>
  <c r="E39" i="43" s="1"/>
  <c r="D34" i="43"/>
  <c r="E34" i="43" s="1"/>
  <c r="D23" i="43"/>
  <c r="E23" i="43" s="1"/>
  <c r="D32" i="43"/>
  <c r="E32" i="43" s="1"/>
  <c r="D25" i="43"/>
  <c r="E25" i="43" s="1"/>
  <c r="D42" i="43"/>
  <c r="E42" i="43" s="1"/>
  <c r="D44" i="43"/>
  <c r="E44" i="43" s="1"/>
  <c r="D28" i="43"/>
  <c r="E28" i="43" s="1"/>
  <c r="D40" i="43"/>
  <c r="E40" i="43" s="1"/>
  <c r="D24" i="43"/>
  <c r="E24" i="43" s="1"/>
  <c r="D36" i="43"/>
  <c r="E36" i="43" s="1"/>
  <c r="D26" i="43"/>
  <c r="E26" i="43" s="1"/>
  <c r="D38" i="43"/>
  <c r="E38" i="43" s="1"/>
  <c r="D33" i="43"/>
  <c r="E33" i="43" s="1"/>
  <c r="E19" i="43"/>
  <c r="E20" i="42"/>
  <c r="E19" i="42"/>
  <c r="B21" i="42"/>
  <c r="C21" i="42" s="1"/>
  <c r="F21" i="42" s="1"/>
  <c r="E20" i="41"/>
  <c r="F20" i="41"/>
  <c r="B22" i="42"/>
  <c r="C22" i="42" s="1"/>
  <c r="F22" i="42" s="1"/>
  <c r="B22" i="41"/>
  <c r="C21" i="41"/>
  <c r="C52" i="36"/>
  <c r="D52" i="36" s="1"/>
  <c r="E52" i="36" s="1"/>
  <c r="F21" i="47" l="1"/>
  <c r="E21" i="47"/>
  <c r="B23" i="47"/>
  <c r="C22" i="47"/>
  <c r="F20" i="46"/>
  <c r="E20" i="46"/>
  <c r="B22" i="46"/>
  <c r="D22" i="46" s="1"/>
  <c r="C21" i="46"/>
  <c r="E21" i="42"/>
  <c r="E21" i="41"/>
  <c r="F21" i="41"/>
  <c r="E22" i="42"/>
  <c r="B23" i="42"/>
  <c r="C23" i="42" s="1"/>
  <c r="F23" i="42" s="1"/>
  <c r="B23" i="41"/>
  <c r="C22" i="41"/>
  <c r="C53" i="36"/>
  <c r="D53" i="36" s="1"/>
  <c r="E53" i="36" s="1"/>
  <c r="F22" i="47" l="1"/>
  <c r="E22" i="47"/>
  <c r="C23" i="47"/>
  <c r="B24" i="47"/>
  <c r="F21" i="46"/>
  <c r="E21" i="46"/>
  <c r="B23" i="46"/>
  <c r="D23" i="46" s="1"/>
  <c r="C22" i="46"/>
  <c r="F22" i="41"/>
  <c r="E22" i="41"/>
  <c r="E23" i="42"/>
  <c r="B24" i="42"/>
  <c r="C24" i="42" s="1"/>
  <c r="F24" i="42" s="1"/>
  <c r="C23" i="41"/>
  <c r="B24" i="41"/>
  <c r="C54" i="36"/>
  <c r="D54" i="36" s="1"/>
  <c r="E54" i="36" s="1"/>
  <c r="F23" i="47" l="1"/>
  <c r="E23" i="47"/>
  <c r="B25" i="47"/>
  <c r="C24" i="47"/>
  <c r="F22" i="46"/>
  <c r="E22" i="46"/>
  <c r="C23" i="46"/>
  <c r="B24" i="46"/>
  <c r="D24" i="46" s="1"/>
  <c r="F23" i="41"/>
  <c r="E23" i="41"/>
  <c r="E24" i="42"/>
  <c r="B25" i="42"/>
  <c r="C25" i="42" s="1"/>
  <c r="F25" i="42" s="1"/>
  <c r="B25" i="41"/>
  <c r="C24" i="41"/>
  <c r="C55" i="36"/>
  <c r="D55" i="36" s="1"/>
  <c r="E55" i="36" s="1"/>
  <c r="F24" i="47" l="1"/>
  <c r="E24" i="47"/>
  <c r="B26" i="47"/>
  <c r="C25" i="47"/>
  <c r="F23" i="46"/>
  <c r="C24" i="46"/>
  <c r="B25" i="46"/>
  <c r="D25" i="46" s="1"/>
  <c r="E23" i="46"/>
  <c r="E24" i="41"/>
  <c r="F24" i="41"/>
  <c r="E25" i="42"/>
  <c r="B26" i="42"/>
  <c r="C26" i="42" s="1"/>
  <c r="F26" i="42" s="1"/>
  <c r="C25" i="41"/>
  <c r="B26" i="41"/>
  <c r="C56" i="36"/>
  <c r="D56" i="36" s="1"/>
  <c r="E56" i="36" s="1"/>
  <c r="F25" i="47" l="1"/>
  <c r="E25" i="47"/>
  <c r="C26" i="47"/>
  <c r="B27" i="47"/>
  <c r="F24" i="46"/>
  <c r="E24" i="46"/>
  <c r="C25" i="46"/>
  <c r="B26" i="46"/>
  <c r="D26" i="46" s="1"/>
  <c r="E25" i="41"/>
  <c r="F25" i="41"/>
  <c r="E26" i="42"/>
  <c r="B27" i="42"/>
  <c r="C27" i="42" s="1"/>
  <c r="F27" i="42" s="1"/>
  <c r="C26" i="41"/>
  <c r="B27" i="41"/>
  <c r="C57" i="36"/>
  <c r="D57" i="36" s="1"/>
  <c r="E57" i="36" s="1"/>
  <c r="F26" i="47" l="1"/>
  <c r="E26" i="47"/>
  <c r="B28" i="47"/>
  <c r="C27" i="47"/>
  <c r="F25" i="46"/>
  <c r="C26" i="46"/>
  <c r="B27" i="46"/>
  <c r="D27" i="46" s="1"/>
  <c r="E25" i="46"/>
  <c r="F26" i="41"/>
  <c r="E26" i="41"/>
  <c r="E27" i="42"/>
  <c r="B28" i="42"/>
  <c r="C28" i="42" s="1"/>
  <c r="F28" i="42" s="1"/>
  <c r="B28" i="41"/>
  <c r="C27" i="41"/>
  <c r="C58" i="36"/>
  <c r="D58" i="36" s="1"/>
  <c r="E58" i="36" s="1"/>
  <c r="F27" i="47" l="1"/>
  <c r="E27" i="47"/>
  <c r="C28" i="47"/>
  <c r="B29" i="47"/>
  <c r="F26" i="46"/>
  <c r="B28" i="46"/>
  <c r="D28" i="46" s="1"/>
  <c r="C27" i="46"/>
  <c r="E26" i="46"/>
  <c r="F27" i="41"/>
  <c r="E27" i="41"/>
  <c r="E28" i="42"/>
  <c r="B29" i="42"/>
  <c r="C29" i="42" s="1"/>
  <c r="F29" i="42" s="1"/>
  <c r="C28" i="41"/>
  <c r="B29" i="41"/>
  <c r="C59" i="36"/>
  <c r="D59" i="36" s="1"/>
  <c r="E59" i="36" s="1"/>
  <c r="F28" i="47" l="1"/>
  <c r="E28" i="47"/>
  <c r="C29" i="47"/>
  <c r="B30" i="47"/>
  <c r="F27" i="46"/>
  <c r="E27" i="46"/>
  <c r="B29" i="46"/>
  <c r="D29" i="46" s="1"/>
  <c r="C28" i="46"/>
  <c r="E28" i="41"/>
  <c r="F28" i="41"/>
  <c r="E29" i="42"/>
  <c r="B30" i="42"/>
  <c r="C30" i="42" s="1"/>
  <c r="F30" i="42" s="1"/>
  <c r="B30" i="41"/>
  <c r="C29" i="41"/>
  <c r="C60" i="36"/>
  <c r="D60" i="36" s="1"/>
  <c r="E60" i="36" s="1"/>
  <c r="F29" i="47" l="1"/>
  <c r="E29" i="47"/>
  <c r="B31" i="47"/>
  <c r="C30" i="47"/>
  <c r="F28" i="46"/>
  <c r="E28" i="46"/>
  <c r="C29" i="46"/>
  <c r="B30" i="46"/>
  <c r="D30" i="46" s="1"/>
  <c r="E29" i="41"/>
  <c r="F29" i="41"/>
  <c r="E30" i="42"/>
  <c r="B31" i="42"/>
  <c r="C31" i="42" s="1"/>
  <c r="F31" i="42" s="1"/>
  <c r="B31" i="41"/>
  <c r="C30" i="41"/>
  <c r="C61" i="36"/>
  <c r="D61" i="36" s="1"/>
  <c r="E61" i="36" s="1"/>
  <c r="F30" i="47" l="1"/>
  <c r="E30" i="47"/>
  <c r="C31" i="47"/>
  <c r="B32" i="47"/>
  <c r="F29" i="46"/>
  <c r="E29" i="46"/>
  <c r="C30" i="46"/>
  <c r="B31" i="46"/>
  <c r="D31" i="46" s="1"/>
  <c r="F30" i="41"/>
  <c r="E30" i="41"/>
  <c r="E31" i="42"/>
  <c r="B32" i="42"/>
  <c r="C32" i="42" s="1"/>
  <c r="F32" i="42" s="1"/>
  <c r="C31" i="41"/>
  <c r="B32" i="41"/>
  <c r="C62" i="36"/>
  <c r="D62" i="36" s="1"/>
  <c r="E62" i="36" s="1"/>
  <c r="F31" i="47" l="1"/>
  <c r="E31" i="47"/>
  <c r="B33" i="47"/>
  <c r="C32" i="47"/>
  <c r="F30" i="46"/>
  <c r="E30" i="46"/>
  <c r="B32" i="46"/>
  <c r="D32" i="46" s="1"/>
  <c r="C31" i="46"/>
  <c r="F31" i="41"/>
  <c r="E31" i="41"/>
  <c r="E32" i="42"/>
  <c r="B33" i="42"/>
  <c r="C33" i="42" s="1"/>
  <c r="F33" i="42" s="1"/>
  <c r="B33" i="41"/>
  <c r="C32" i="41"/>
  <c r="C63" i="36"/>
  <c r="D63" i="36" s="1"/>
  <c r="E63" i="36" s="1"/>
  <c r="F32" i="47" l="1"/>
  <c r="E32" i="47"/>
  <c r="B34" i="47"/>
  <c r="C33" i="47"/>
  <c r="F31" i="46"/>
  <c r="E31" i="46"/>
  <c r="C32" i="46"/>
  <c r="B33" i="46"/>
  <c r="D33" i="46" s="1"/>
  <c r="E32" i="41"/>
  <c r="F32" i="41"/>
  <c r="E33" i="42"/>
  <c r="B34" i="42"/>
  <c r="B34" i="41"/>
  <c r="C33" i="41"/>
  <c r="C64" i="36"/>
  <c r="D64" i="36" s="1"/>
  <c r="E64" i="36" s="1"/>
  <c r="F33" i="47" l="1"/>
  <c r="E33" i="47"/>
  <c r="C34" i="47"/>
  <c r="B35" i="47"/>
  <c r="F32" i="46"/>
  <c r="E32" i="46"/>
  <c r="B34" i="46"/>
  <c r="D34" i="46" s="1"/>
  <c r="C33" i="46"/>
  <c r="E33" i="41"/>
  <c r="F33" i="41"/>
  <c r="C34" i="42"/>
  <c r="F34" i="42" s="1"/>
  <c r="B35" i="42"/>
  <c r="C34" i="41"/>
  <c r="B35" i="41"/>
  <c r="C65" i="36"/>
  <c r="D65" i="36" s="1"/>
  <c r="E65" i="36" s="1"/>
  <c r="F34" i="47" l="1"/>
  <c r="E34" i="47"/>
  <c r="B36" i="47"/>
  <c r="C35" i="47"/>
  <c r="F33" i="46"/>
  <c r="E33" i="46"/>
  <c r="C34" i="46"/>
  <c r="B35" i="46"/>
  <c r="D35" i="46" s="1"/>
  <c r="F34" i="41"/>
  <c r="E34" i="41"/>
  <c r="E34" i="42"/>
  <c r="B36" i="42"/>
  <c r="C35" i="42"/>
  <c r="F35" i="42" s="1"/>
  <c r="B36" i="41"/>
  <c r="C35" i="41"/>
  <c r="C66" i="36"/>
  <c r="D66" i="36" s="1"/>
  <c r="E66" i="36" s="1"/>
  <c r="F35" i="47" l="1"/>
  <c r="E35" i="47"/>
  <c r="C36" i="47"/>
  <c r="B37" i="47"/>
  <c r="F34" i="46"/>
  <c r="E34" i="46"/>
  <c r="B36" i="46"/>
  <c r="D36" i="46" s="1"/>
  <c r="C35" i="46"/>
  <c r="F35" i="41"/>
  <c r="E35" i="41"/>
  <c r="E35" i="42"/>
  <c r="C36" i="42"/>
  <c r="F36" i="42" s="1"/>
  <c r="B37" i="42"/>
  <c r="C36" i="41"/>
  <c r="B37" i="41"/>
  <c r="C67" i="36"/>
  <c r="D67" i="36" s="1"/>
  <c r="E67" i="36" s="1"/>
  <c r="F36" i="47" l="1"/>
  <c r="E36" i="47"/>
  <c r="C37" i="47"/>
  <c r="B38" i="47"/>
  <c r="F35" i="46"/>
  <c r="C36" i="46"/>
  <c r="B37" i="46"/>
  <c r="D37" i="46" s="1"/>
  <c r="E35" i="46"/>
  <c r="E36" i="41"/>
  <c r="F36" i="41"/>
  <c r="E36" i="42"/>
  <c r="B38" i="42"/>
  <c r="C37" i="42"/>
  <c r="F37" i="42" s="1"/>
  <c r="B38" i="41"/>
  <c r="C37" i="41"/>
  <c r="C68" i="36"/>
  <c r="D68" i="36" s="1"/>
  <c r="E68" i="36" s="1"/>
  <c r="F37" i="47" l="1"/>
  <c r="E37" i="47"/>
  <c r="B39" i="47"/>
  <c r="C38" i="47"/>
  <c r="F36" i="46"/>
  <c r="E36" i="46"/>
  <c r="C37" i="46"/>
  <c r="B38" i="46"/>
  <c r="D38" i="46" s="1"/>
  <c r="E37" i="41"/>
  <c r="F37" i="41"/>
  <c r="E37" i="42"/>
  <c r="C38" i="42"/>
  <c r="F38" i="42" s="1"/>
  <c r="B39" i="42"/>
  <c r="B39" i="41"/>
  <c r="C38" i="41"/>
  <c r="C69" i="36"/>
  <c r="D69" i="36" s="1"/>
  <c r="E69" i="36" s="1"/>
  <c r="F38" i="47" l="1"/>
  <c r="E38" i="47"/>
  <c r="C39" i="47"/>
  <c r="B40" i="47"/>
  <c r="F37" i="46"/>
  <c r="E37" i="46"/>
  <c r="C38" i="46"/>
  <c r="B39" i="46"/>
  <c r="D39" i="46" s="1"/>
  <c r="F38" i="41"/>
  <c r="E38" i="41"/>
  <c r="E38" i="42"/>
  <c r="C39" i="42"/>
  <c r="F39" i="42" s="1"/>
  <c r="B40" i="42"/>
  <c r="B40" i="41"/>
  <c r="C39" i="41"/>
  <c r="C70" i="36"/>
  <c r="D70" i="36" s="1"/>
  <c r="E70" i="36" s="1"/>
  <c r="F39" i="47" l="1"/>
  <c r="E39" i="47"/>
  <c r="C40" i="47"/>
  <c r="B41" i="47"/>
  <c r="F38" i="46"/>
  <c r="E38" i="46"/>
  <c r="B40" i="46"/>
  <c r="D40" i="46" s="1"/>
  <c r="C39" i="46"/>
  <c r="F39" i="41"/>
  <c r="E39" i="41"/>
  <c r="E39" i="42"/>
  <c r="B41" i="42"/>
  <c r="C40" i="42"/>
  <c r="F40" i="42" s="1"/>
  <c r="C40" i="41"/>
  <c r="B41" i="41"/>
  <c r="C71" i="36"/>
  <c r="D71" i="36" s="1"/>
  <c r="E71" i="36" s="1"/>
  <c r="F40" i="47" l="1"/>
  <c r="E40" i="47"/>
  <c r="C41" i="47"/>
  <c r="B42" i="47"/>
  <c r="F39" i="46"/>
  <c r="E39" i="46"/>
  <c r="B41" i="46"/>
  <c r="D41" i="46" s="1"/>
  <c r="C40" i="46"/>
  <c r="E40" i="41"/>
  <c r="F40" i="41"/>
  <c r="E40" i="42"/>
  <c r="B42" i="42"/>
  <c r="C41" i="42"/>
  <c r="F41" i="42" s="1"/>
  <c r="C41" i="41"/>
  <c r="B42" i="41"/>
  <c r="C72" i="36"/>
  <c r="D72" i="36" s="1"/>
  <c r="E72" i="36" s="1"/>
  <c r="F41" i="47" l="1"/>
  <c r="E41" i="47"/>
  <c r="C42" i="47"/>
  <c r="B43" i="47"/>
  <c r="F40" i="46"/>
  <c r="E40" i="46"/>
  <c r="B42" i="46"/>
  <c r="D42" i="46" s="1"/>
  <c r="C41" i="46"/>
  <c r="E41" i="41"/>
  <c r="F41" i="41"/>
  <c r="E41" i="42"/>
  <c r="C42" i="42"/>
  <c r="F42" i="42" s="1"/>
  <c r="B43" i="42"/>
  <c r="C43" i="42" s="1"/>
  <c r="F43" i="42" s="1"/>
  <c r="C42" i="41"/>
  <c r="B43" i="41"/>
  <c r="C43" i="41" s="1"/>
  <c r="C74" i="36"/>
  <c r="D74" i="36" s="1"/>
  <c r="E74" i="36" s="1"/>
  <c r="C73" i="36"/>
  <c r="D73" i="36" s="1"/>
  <c r="E73" i="36" s="1"/>
  <c r="F42" i="47" l="1"/>
  <c r="E42" i="47"/>
  <c r="C43" i="47"/>
  <c r="B44" i="47"/>
  <c r="C44" i="47" s="1"/>
  <c r="F41" i="46"/>
  <c r="E41" i="46"/>
  <c r="B43" i="46"/>
  <c r="C42" i="46"/>
  <c r="F42" i="41"/>
  <c r="E42" i="41"/>
  <c r="F43" i="41"/>
  <c r="E43" i="41"/>
  <c r="E43" i="42"/>
  <c r="E42" i="42"/>
  <c r="I12" i="27"/>
  <c r="I13" i="27" s="1"/>
  <c r="I13" i="33"/>
  <c r="I13" i="30"/>
  <c r="I13" i="25"/>
  <c r="I12" i="28"/>
  <c r="I12" i="26"/>
  <c r="C11" i="1"/>
  <c r="C12" i="1"/>
  <c r="C13" i="1"/>
  <c r="C14" i="1"/>
  <c r="C15" i="1"/>
  <c r="C16" i="1"/>
  <c r="C17" i="1"/>
  <c r="C18" i="1"/>
  <c r="C19" i="1"/>
  <c r="C20" i="1"/>
  <c r="C21" i="1"/>
  <c r="C22" i="1"/>
  <c r="C23" i="1"/>
  <c r="C24" i="1"/>
  <c r="C25" i="1"/>
  <c r="C26" i="1"/>
  <c r="C27" i="1"/>
  <c r="C28" i="1"/>
  <c r="C29" i="1"/>
  <c r="C30" i="1"/>
  <c r="C31" i="1"/>
  <c r="C32" i="1"/>
  <c r="C33" i="1"/>
  <c r="C34" i="1"/>
  <c r="C35" i="1"/>
  <c r="C36" i="1"/>
  <c r="I44" i="33"/>
  <c r="K44" i="33" s="1"/>
  <c r="I43" i="33"/>
  <c r="K43" i="33" s="1"/>
  <c r="I42" i="33"/>
  <c r="K42" i="33" s="1"/>
  <c r="I41" i="33"/>
  <c r="K41" i="33" s="1"/>
  <c r="I40" i="33"/>
  <c r="K40" i="33" s="1"/>
  <c r="I39" i="33"/>
  <c r="K39" i="33" s="1"/>
  <c r="C13" i="33"/>
  <c r="C7" i="33"/>
  <c r="C49" i="33" s="1"/>
  <c r="I43" i="31"/>
  <c r="K43" i="31" s="1"/>
  <c r="I42" i="31"/>
  <c r="K42" i="31" s="1"/>
  <c r="I43" i="27"/>
  <c r="K43" i="27" s="1"/>
  <c r="I42" i="27"/>
  <c r="K42" i="27" s="1"/>
  <c r="I41" i="30"/>
  <c r="K41" i="30" s="1"/>
  <c r="I43" i="25"/>
  <c r="K43" i="25" s="1"/>
  <c r="I42" i="25"/>
  <c r="K42" i="25" s="1"/>
  <c r="I40" i="28"/>
  <c r="K40" i="28" s="1"/>
  <c r="I41" i="26"/>
  <c r="K41" i="26" s="1"/>
  <c r="C7" i="31"/>
  <c r="I41" i="31"/>
  <c r="K41" i="31" s="1"/>
  <c r="I40" i="31"/>
  <c r="K40" i="31" s="1"/>
  <c r="I39" i="31"/>
  <c r="K39" i="31" s="1"/>
  <c r="I38" i="31"/>
  <c r="K38" i="31" s="1"/>
  <c r="C6" i="30"/>
  <c r="I40" i="30"/>
  <c r="K40" i="30" s="1"/>
  <c r="I39" i="30"/>
  <c r="K39" i="30" s="1"/>
  <c r="I38" i="30"/>
  <c r="K38" i="30" s="1"/>
  <c r="I37" i="30"/>
  <c r="K37" i="30" s="1"/>
  <c r="C11" i="30"/>
  <c r="C9" i="30" s="1"/>
  <c r="C7" i="30" s="1"/>
  <c r="I39" i="28"/>
  <c r="K39" i="28" s="1"/>
  <c r="I38" i="28"/>
  <c r="K38" i="28" s="1"/>
  <c r="I37" i="28"/>
  <c r="K37" i="28" s="1"/>
  <c r="I36" i="28"/>
  <c r="K36" i="28" s="1"/>
  <c r="C11" i="28"/>
  <c r="C7" i="28"/>
  <c r="C6" i="27"/>
  <c r="I41" i="27"/>
  <c r="K41" i="27" s="1"/>
  <c r="I40" i="27"/>
  <c r="K40" i="27" s="1"/>
  <c r="I39" i="27"/>
  <c r="K39" i="27" s="1"/>
  <c r="K38" i="27"/>
  <c r="I38" i="27"/>
  <c r="I37" i="27"/>
  <c r="K37" i="27" s="1"/>
  <c r="C17" i="27"/>
  <c r="C11" i="27"/>
  <c r="C10" i="27"/>
  <c r="C13" i="27" s="1"/>
  <c r="B18" i="27" s="1"/>
  <c r="C48" i="26"/>
  <c r="E48" i="26" s="1"/>
  <c r="C49" i="26"/>
  <c r="E49" i="26" s="1"/>
  <c r="C50" i="26"/>
  <c r="E50" i="26" s="1"/>
  <c r="C51" i="26"/>
  <c r="E51" i="26" s="1"/>
  <c r="C52" i="26"/>
  <c r="E52" i="26" s="1"/>
  <c r="C53" i="26"/>
  <c r="E53" i="26" s="1"/>
  <c r="C54" i="26"/>
  <c r="E54" i="26" s="1"/>
  <c r="C55" i="26"/>
  <c r="E55" i="26" s="1"/>
  <c r="C56" i="26"/>
  <c r="E56" i="26" s="1"/>
  <c r="C57" i="26"/>
  <c r="E57" i="26" s="1"/>
  <c r="C58" i="26"/>
  <c r="E58" i="26" s="1"/>
  <c r="C59" i="26"/>
  <c r="E59" i="26" s="1"/>
  <c r="C60" i="26"/>
  <c r="E60" i="26" s="1"/>
  <c r="C61" i="26"/>
  <c r="E61" i="26" s="1"/>
  <c r="C62" i="26"/>
  <c r="E62" i="26" s="1"/>
  <c r="C63" i="26"/>
  <c r="E63" i="26" s="1"/>
  <c r="C64" i="26"/>
  <c r="E64" i="26" s="1"/>
  <c r="C65" i="26"/>
  <c r="E65" i="26" s="1"/>
  <c r="C66" i="26"/>
  <c r="E66" i="26" s="1"/>
  <c r="C67" i="26"/>
  <c r="E67" i="26" s="1"/>
  <c r="C68" i="26"/>
  <c r="E68" i="26" s="1"/>
  <c r="C69" i="26"/>
  <c r="E69" i="26" s="1"/>
  <c r="C70" i="26"/>
  <c r="E70" i="26" s="1"/>
  <c r="C71" i="26"/>
  <c r="E71" i="26" s="1"/>
  <c r="C72" i="26"/>
  <c r="E72" i="26" s="1"/>
  <c r="C73" i="26"/>
  <c r="E73" i="26" s="1"/>
  <c r="C74" i="26"/>
  <c r="E74" i="26" s="1"/>
  <c r="C75" i="26"/>
  <c r="E75" i="26" s="1"/>
  <c r="C76" i="26"/>
  <c r="E76" i="26" s="1"/>
  <c r="C77" i="26"/>
  <c r="E77" i="26" s="1"/>
  <c r="C78" i="26"/>
  <c r="E78" i="26" s="1"/>
  <c r="C79" i="26"/>
  <c r="E79" i="26" s="1"/>
  <c r="C80" i="26"/>
  <c r="E80" i="26" s="1"/>
  <c r="C81" i="26"/>
  <c r="E81" i="26" s="1"/>
  <c r="C82" i="26"/>
  <c r="E82" i="26" s="1"/>
  <c r="C83" i="26"/>
  <c r="E83" i="26" s="1"/>
  <c r="C84" i="26"/>
  <c r="E84" i="26" s="1"/>
  <c r="C85" i="26"/>
  <c r="E85" i="26" s="1"/>
  <c r="C86" i="26"/>
  <c r="E86" i="26" s="1"/>
  <c r="C87" i="26"/>
  <c r="E87" i="26" s="1"/>
  <c r="C88" i="26"/>
  <c r="E88" i="26" s="1"/>
  <c r="C89" i="26"/>
  <c r="E89" i="26" s="1"/>
  <c r="C90" i="26"/>
  <c r="E90" i="26" s="1"/>
  <c r="C91" i="26"/>
  <c r="E91" i="26" s="1"/>
  <c r="C92" i="26"/>
  <c r="E92" i="26" s="1"/>
  <c r="C93" i="26"/>
  <c r="E93" i="26" s="1"/>
  <c r="C94" i="26"/>
  <c r="E94" i="26" s="1"/>
  <c r="C95" i="26"/>
  <c r="E95" i="26" s="1"/>
  <c r="C96" i="26"/>
  <c r="E96" i="26" s="1"/>
  <c r="C97" i="26"/>
  <c r="E97" i="26" s="1"/>
  <c r="C98" i="26"/>
  <c r="E98" i="26" s="1"/>
  <c r="C99" i="26"/>
  <c r="E99" i="26" s="1"/>
  <c r="C100" i="26"/>
  <c r="E100" i="26" s="1"/>
  <c r="C101" i="26"/>
  <c r="E101" i="26" s="1"/>
  <c r="C47" i="26"/>
  <c r="E47" i="26" s="1"/>
  <c r="C12" i="26"/>
  <c r="D48" i="26" s="1"/>
  <c r="C7" i="26"/>
  <c r="I40" i="26"/>
  <c r="K40" i="26" s="1"/>
  <c r="I39" i="26"/>
  <c r="K39" i="26" s="1"/>
  <c r="I38" i="26"/>
  <c r="K38" i="26" s="1"/>
  <c r="I37" i="26"/>
  <c r="K37" i="26" s="1"/>
  <c r="C17" i="25"/>
  <c r="F17" i="25" s="1"/>
  <c r="C12" i="25"/>
  <c r="I41" i="25"/>
  <c r="K41" i="25" s="1"/>
  <c r="I40" i="25"/>
  <c r="K40" i="25" s="1"/>
  <c r="I39" i="25"/>
  <c r="K39" i="25" s="1"/>
  <c r="I38" i="25"/>
  <c r="K38" i="25" s="1"/>
  <c r="I37" i="25"/>
  <c r="K37" i="25" s="1"/>
  <c r="C7" i="25"/>
  <c r="C43" i="46" l="1"/>
  <c r="D43" i="46"/>
  <c r="E52" i="28"/>
  <c r="E76" i="28"/>
  <c r="E100" i="28"/>
  <c r="C69" i="28"/>
  <c r="C93" i="28"/>
  <c r="C75" i="28"/>
  <c r="C100" i="28"/>
  <c r="C53" i="28"/>
  <c r="E62" i="28"/>
  <c r="C57" i="28"/>
  <c r="C83" i="28"/>
  <c r="E92" i="28"/>
  <c r="E47" i="28"/>
  <c r="E48" i="28"/>
  <c r="E97" i="28"/>
  <c r="C91" i="28"/>
  <c r="E75" i="28"/>
  <c r="E53" i="28"/>
  <c r="E77" i="28"/>
  <c r="E46" i="28"/>
  <c r="C70" i="28"/>
  <c r="C94" i="28"/>
  <c r="C99" i="28"/>
  <c r="E83" i="28"/>
  <c r="E60" i="28"/>
  <c r="E61" i="28"/>
  <c r="C79" i="28"/>
  <c r="E63" i="28"/>
  <c r="C81" i="28"/>
  <c r="E89" i="28"/>
  <c r="C59" i="28"/>
  <c r="E67" i="28"/>
  <c r="E68" i="28"/>
  <c r="E69" i="28"/>
  <c r="C63" i="28"/>
  <c r="E95" i="28"/>
  <c r="E72" i="28"/>
  <c r="E73" i="28"/>
  <c r="E50" i="28"/>
  <c r="C68" i="28"/>
  <c r="E54" i="28"/>
  <c r="E78" i="28"/>
  <c r="C47" i="28"/>
  <c r="C71" i="28"/>
  <c r="C95" i="28"/>
  <c r="C52" i="28"/>
  <c r="C77" i="28"/>
  <c r="C54" i="28"/>
  <c r="C56" i="28"/>
  <c r="E88" i="28"/>
  <c r="C58" i="28"/>
  <c r="E90" i="28"/>
  <c r="C84" i="28"/>
  <c r="C61" i="28"/>
  <c r="E93" i="28"/>
  <c r="E70" i="28"/>
  <c r="C89" i="28"/>
  <c r="C66" i="28"/>
  <c r="C67" i="28"/>
  <c r="E99" i="28"/>
  <c r="E55" i="28"/>
  <c r="E79" i="28"/>
  <c r="C48" i="28"/>
  <c r="C72" i="28"/>
  <c r="C96" i="28"/>
  <c r="E82" i="28"/>
  <c r="C76" i="28"/>
  <c r="C46" i="28"/>
  <c r="E85" i="28"/>
  <c r="C55" i="28"/>
  <c r="C80" i="28"/>
  <c r="E65" i="28"/>
  <c r="E91" i="28"/>
  <c r="C86" i="28"/>
  <c r="E94" i="28"/>
  <c r="C65" i="28"/>
  <c r="E51" i="28"/>
  <c r="E56" i="28"/>
  <c r="E80" i="28"/>
  <c r="C49" i="28"/>
  <c r="C73" i="28"/>
  <c r="C97" i="28"/>
  <c r="E58" i="28"/>
  <c r="E59" i="28"/>
  <c r="E84" i="28"/>
  <c r="C78" i="28"/>
  <c r="E87" i="28"/>
  <c r="E64" i="28"/>
  <c r="C82" i="28"/>
  <c r="E66" i="28"/>
  <c r="C60" i="28"/>
  <c r="C85" i="28"/>
  <c r="C62" i="28"/>
  <c r="C87" i="28"/>
  <c r="C64" i="28"/>
  <c r="E96" i="28"/>
  <c r="E49" i="28"/>
  <c r="E98" i="28"/>
  <c r="C92" i="28"/>
  <c r="E57" i="28"/>
  <c r="E81" i="28"/>
  <c r="C50" i="28"/>
  <c r="C74" i="28"/>
  <c r="C98" i="28"/>
  <c r="C51" i="28"/>
  <c r="E86" i="28"/>
  <c r="C88" i="28"/>
  <c r="E71" i="28"/>
  <c r="C90" i="28"/>
  <c r="E74" i="28"/>
  <c r="C49" i="27"/>
  <c r="C57" i="27"/>
  <c r="C65" i="27"/>
  <c r="C73" i="27"/>
  <c r="C81" i="27"/>
  <c r="C89" i="27"/>
  <c r="C97" i="27"/>
  <c r="C66" i="27"/>
  <c r="C82" i="27"/>
  <c r="C51" i="27"/>
  <c r="C59" i="27"/>
  <c r="C67" i="27"/>
  <c r="C75" i="27"/>
  <c r="C83" i="27"/>
  <c r="C91" i="27"/>
  <c r="C99" i="27"/>
  <c r="C54" i="27"/>
  <c r="C70" i="27"/>
  <c r="C94" i="27"/>
  <c r="C52" i="27"/>
  <c r="C60" i="27"/>
  <c r="C68" i="27"/>
  <c r="C76" i="27"/>
  <c r="C84" i="27"/>
  <c r="C92" i="27"/>
  <c r="C100" i="27"/>
  <c r="C62" i="27"/>
  <c r="C86" i="27"/>
  <c r="C47" i="27"/>
  <c r="C53" i="27"/>
  <c r="C61" i="27"/>
  <c r="C69" i="27"/>
  <c r="C77" i="27"/>
  <c r="C85" i="27"/>
  <c r="C93" i="27"/>
  <c r="C101" i="27"/>
  <c r="C78" i="27"/>
  <c r="C55" i="27"/>
  <c r="C63" i="27"/>
  <c r="C71" i="27"/>
  <c r="C79" i="27"/>
  <c r="C87" i="27"/>
  <c r="C95" i="27"/>
  <c r="C48" i="27"/>
  <c r="C56" i="27"/>
  <c r="C64" i="27"/>
  <c r="C72" i="27"/>
  <c r="C80" i="27"/>
  <c r="C88" i="27"/>
  <c r="C96" i="27"/>
  <c r="C50" i="27"/>
  <c r="C58" i="27"/>
  <c r="C74" i="27"/>
  <c r="C90" i="27"/>
  <c r="C98" i="27"/>
  <c r="F44" i="47"/>
  <c r="E44" i="47"/>
  <c r="F43" i="47"/>
  <c r="E43" i="47"/>
  <c r="F42" i="46"/>
  <c r="F43" i="46"/>
  <c r="E42" i="46"/>
  <c r="E43" i="46"/>
  <c r="C50" i="31"/>
  <c r="C54" i="31"/>
  <c r="C58" i="31"/>
  <c r="C62" i="31"/>
  <c r="C66" i="31"/>
  <c r="C70" i="31"/>
  <c r="C74" i="31"/>
  <c r="C78" i="31"/>
  <c r="C82" i="31"/>
  <c r="C86" i="31"/>
  <c r="C90" i="31"/>
  <c r="C94" i="31"/>
  <c r="C98" i="31"/>
  <c r="C102" i="31"/>
  <c r="C53" i="31"/>
  <c r="C61" i="31"/>
  <c r="C69" i="31"/>
  <c r="C73" i="31"/>
  <c r="C85" i="31"/>
  <c r="C97" i="31"/>
  <c r="C51" i="31"/>
  <c r="C55" i="31"/>
  <c r="C59" i="31"/>
  <c r="C63" i="31"/>
  <c r="C67" i="31"/>
  <c r="C71" i="31"/>
  <c r="C75" i="31"/>
  <c r="C79" i="31"/>
  <c r="C83" i="31"/>
  <c r="C87" i="31"/>
  <c r="C91" i="31"/>
  <c r="C95" i="31"/>
  <c r="C99" i="31"/>
  <c r="C48" i="31"/>
  <c r="C89" i="31"/>
  <c r="C52" i="31"/>
  <c r="C56" i="31"/>
  <c r="C60" i="31"/>
  <c r="C64" i="31"/>
  <c r="C68" i="31"/>
  <c r="C72" i="31"/>
  <c r="C76" i="31"/>
  <c r="C80" i="31"/>
  <c r="C84" i="31"/>
  <c r="C88" i="31"/>
  <c r="C92" i="31"/>
  <c r="C96" i="31"/>
  <c r="C100" i="31"/>
  <c r="C49" i="31"/>
  <c r="C57" i="31"/>
  <c r="C65" i="31"/>
  <c r="C77" i="31"/>
  <c r="C81" i="31"/>
  <c r="C93" i="31"/>
  <c r="C101" i="31"/>
  <c r="C11" i="33"/>
  <c r="C8" i="33" s="1"/>
  <c r="C9" i="33" s="1"/>
  <c r="C51" i="30"/>
  <c r="C55" i="30"/>
  <c r="C59" i="30"/>
  <c r="C63" i="30"/>
  <c r="C67" i="30"/>
  <c r="C71" i="30"/>
  <c r="C75" i="30"/>
  <c r="C79" i="30"/>
  <c r="C83" i="30"/>
  <c r="C87" i="30"/>
  <c r="C91" i="30"/>
  <c r="C95" i="30"/>
  <c r="C99" i="30"/>
  <c r="C48" i="30"/>
  <c r="C52" i="30"/>
  <c r="C56" i="30"/>
  <c r="C60" i="30"/>
  <c r="C64" i="30"/>
  <c r="C68" i="30"/>
  <c r="C72" i="30"/>
  <c r="C76" i="30"/>
  <c r="C80" i="30"/>
  <c r="C84" i="30"/>
  <c r="C88" i="30"/>
  <c r="C92" i="30"/>
  <c r="C96" i="30"/>
  <c r="C100" i="30"/>
  <c r="C49" i="30"/>
  <c r="C53" i="30"/>
  <c r="C57" i="30"/>
  <c r="C61" i="30"/>
  <c r="C65" i="30"/>
  <c r="C69" i="30"/>
  <c r="C73" i="30"/>
  <c r="C77" i="30"/>
  <c r="C81" i="30"/>
  <c r="C85" i="30"/>
  <c r="C89" i="30"/>
  <c r="C93" i="30"/>
  <c r="C97" i="30"/>
  <c r="C101" i="30"/>
  <c r="C54" i="30"/>
  <c r="C58" i="30"/>
  <c r="C62" i="30"/>
  <c r="C66" i="30"/>
  <c r="C70" i="30"/>
  <c r="C74" i="30"/>
  <c r="C78" i="30"/>
  <c r="C82" i="30"/>
  <c r="C86" i="30"/>
  <c r="C90" i="30"/>
  <c r="C94" i="30"/>
  <c r="C98" i="30"/>
  <c r="C47" i="30"/>
  <c r="C50" i="30"/>
  <c r="D100" i="26"/>
  <c r="D68" i="26"/>
  <c r="I9" i="27"/>
  <c r="D79" i="26"/>
  <c r="D76" i="26"/>
  <c r="D71" i="26"/>
  <c r="D95" i="26"/>
  <c r="D63" i="26"/>
  <c r="D92" i="26"/>
  <c r="D60" i="26"/>
  <c r="D87" i="26"/>
  <c r="D55" i="26"/>
  <c r="D84" i="26"/>
  <c r="D52" i="26"/>
  <c r="D47" i="26"/>
  <c r="D94" i="26"/>
  <c r="D86" i="26"/>
  <c r="D78" i="26"/>
  <c r="D70" i="26"/>
  <c r="D62" i="26"/>
  <c r="D54" i="26"/>
  <c r="C5" i="26"/>
  <c r="D101" i="26"/>
  <c r="D93" i="26"/>
  <c r="D85" i="26"/>
  <c r="D77" i="26"/>
  <c r="D69" i="26"/>
  <c r="D61" i="26"/>
  <c r="D53" i="26"/>
  <c r="D91" i="26"/>
  <c r="D83" i="26"/>
  <c r="D67" i="26"/>
  <c r="D51" i="26"/>
  <c r="D98" i="26"/>
  <c r="D90" i="26"/>
  <c r="D82" i="26"/>
  <c r="D74" i="26"/>
  <c r="D66" i="26"/>
  <c r="D58" i="26"/>
  <c r="D50" i="26"/>
  <c r="D97" i="26"/>
  <c r="D89" i="26"/>
  <c r="D81" i="26"/>
  <c r="D73" i="26"/>
  <c r="D65" i="26"/>
  <c r="D57" i="26"/>
  <c r="D49" i="26"/>
  <c r="D99" i="26"/>
  <c r="D75" i="26"/>
  <c r="D59" i="26"/>
  <c r="D96" i="26"/>
  <c r="D88" i="26"/>
  <c r="D80" i="26"/>
  <c r="D72" i="26"/>
  <c r="D64" i="26"/>
  <c r="D56" i="26"/>
  <c r="C16" i="28"/>
  <c r="F16" i="28" s="1"/>
  <c r="I41" i="28"/>
  <c r="K41" i="28" s="1"/>
  <c r="C17" i="30"/>
  <c r="I42" i="30"/>
  <c r="K42" i="30" s="1"/>
  <c r="C10" i="30"/>
  <c r="C13" i="30" s="1"/>
  <c r="B18" i="30" s="1"/>
  <c r="I10" i="30"/>
  <c r="C12" i="33"/>
  <c r="C15" i="33" s="1"/>
  <c r="B20" i="33" s="1"/>
  <c r="B21" i="33" s="1"/>
  <c r="I45" i="33"/>
  <c r="K45" i="33" s="1"/>
  <c r="C103" i="33"/>
  <c r="C52" i="33"/>
  <c r="C60" i="33"/>
  <c r="C68" i="33"/>
  <c r="C80" i="33"/>
  <c r="C100" i="33"/>
  <c r="C53" i="33"/>
  <c r="C57" i="33"/>
  <c r="C61" i="33"/>
  <c r="C65" i="33"/>
  <c r="C69" i="33"/>
  <c r="C73" i="33"/>
  <c r="C77" i="33"/>
  <c r="C81" i="33"/>
  <c r="C85" i="33"/>
  <c r="C89" i="33"/>
  <c r="C93" i="33"/>
  <c r="C97" i="33"/>
  <c r="C101" i="33"/>
  <c r="C56" i="33"/>
  <c r="C64" i="33"/>
  <c r="C72" i="33"/>
  <c r="C76" i="33"/>
  <c r="C84" i="33"/>
  <c r="C88" i="33"/>
  <c r="C92" i="33"/>
  <c r="C96" i="33"/>
  <c r="C50" i="33"/>
  <c r="C54" i="33"/>
  <c r="C58" i="33"/>
  <c r="C62" i="33"/>
  <c r="C66" i="33"/>
  <c r="C70" i="33"/>
  <c r="C74" i="33"/>
  <c r="C78" i="33"/>
  <c r="C82" i="33"/>
  <c r="C86" i="33"/>
  <c r="C90" i="33"/>
  <c r="C94" i="33"/>
  <c r="C98" i="33"/>
  <c r="C102" i="33"/>
  <c r="C51" i="33"/>
  <c r="C55" i="33"/>
  <c r="C59" i="33"/>
  <c r="C63" i="33"/>
  <c r="C67" i="33"/>
  <c r="C71" i="33"/>
  <c r="C75" i="33"/>
  <c r="C79" i="33"/>
  <c r="C83" i="33"/>
  <c r="C87" i="33"/>
  <c r="C91" i="33"/>
  <c r="C95" i="33"/>
  <c r="C99" i="33"/>
  <c r="E17" i="25"/>
  <c r="I10" i="25"/>
  <c r="C11" i="31"/>
  <c r="C14" i="31" s="1"/>
  <c r="B19" i="31" s="1"/>
  <c r="C18" i="31"/>
  <c r="F18" i="31" s="1"/>
  <c r="I9" i="31"/>
  <c r="C18" i="30"/>
  <c r="B19" i="30"/>
  <c r="I9" i="28"/>
  <c r="C10" i="28"/>
  <c r="B19" i="27"/>
  <c r="C18" i="27"/>
  <c r="E17" i="27"/>
  <c r="C11" i="25"/>
  <c r="C14" i="25" s="1"/>
  <c r="B18" i="25" s="1"/>
  <c r="B19" i="25" l="1"/>
  <c r="D18" i="25"/>
  <c r="C13" i="28"/>
  <c r="B17" i="28" s="1"/>
  <c r="B18" i="28" s="1"/>
  <c r="F5" i="28"/>
  <c r="I10" i="33"/>
  <c r="C19" i="33"/>
  <c r="F18" i="30"/>
  <c r="F17" i="30"/>
  <c r="E18" i="31"/>
  <c r="E18" i="27"/>
  <c r="C11" i="26"/>
  <c r="C14" i="26" s="1"/>
  <c r="B18" i="26" s="1"/>
  <c r="C17" i="26"/>
  <c r="I42" i="26"/>
  <c r="K42" i="26" s="1"/>
  <c r="I9" i="26"/>
  <c r="F19" i="33"/>
  <c r="C17" i="28"/>
  <c r="E17" i="30"/>
  <c r="C20" i="33"/>
  <c r="B22" i="33"/>
  <c r="C21" i="33"/>
  <c r="C19" i="31"/>
  <c r="F19" i="31" s="1"/>
  <c r="B20" i="31"/>
  <c r="E18" i="30"/>
  <c r="C19" i="30"/>
  <c r="B20" i="30"/>
  <c r="C18" i="28"/>
  <c r="B19" i="28"/>
  <c r="B20" i="27"/>
  <c r="C19" i="27"/>
  <c r="C18" i="25"/>
  <c r="F18" i="25" s="1"/>
  <c r="C19" i="25"/>
  <c r="F19" i="25" s="1"/>
  <c r="B20" i="25" l="1"/>
  <c r="D19" i="25"/>
  <c r="F18" i="28"/>
  <c r="F17" i="28"/>
  <c r="F6" i="28"/>
  <c r="F4" i="28"/>
  <c r="C18" i="26"/>
  <c r="D18" i="26"/>
  <c r="F19" i="30"/>
  <c r="E19" i="27"/>
  <c r="E17" i="26"/>
  <c r="F17" i="26"/>
  <c r="B19" i="26"/>
  <c r="F21" i="33"/>
  <c r="F20" i="33"/>
  <c r="E19" i="25"/>
  <c r="E18" i="25"/>
  <c r="C22" i="33"/>
  <c r="B23" i="33"/>
  <c r="E19" i="31"/>
  <c r="C20" i="31"/>
  <c r="F20" i="31" s="1"/>
  <c r="B21" i="31"/>
  <c r="E19" i="30"/>
  <c r="C20" i="30"/>
  <c r="B21" i="30"/>
  <c r="C19" i="28"/>
  <c r="B20" i="28"/>
  <c r="B21" i="27"/>
  <c r="C20" i="27"/>
  <c r="B21" i="25" l="1"/>
  <c r="D20" i="25"/>
  <c r="E20" i="25" s="1"/>
  <c r="C20" i="25"/>
  <c r="F20" i="25" s="1"/>
  <c r="D16" i="28"/>
  <c r="E16" i="28" s="1"/>
  <c r="D17" i="28"/>
  <c r="E17" i="28" s="1"/>
  <c r="D18" i="28"/>
  <c r="E18" i="28" s="1"/>
  <c r="D19" i="28"/>
  <c r="E19" i="28" s="1"/>
  <c r="D20" i="28"/>
  <c r="D21" i="28"/>
  <c r="F19" i="28"/>
  <c r="C19" i="26"/>
  <c r="D19" i="26"/>
  <c r="F20" i="30"/>
  <c r="E18" i="26"/>
  <c r="F18" i="26"/>
  <c r="E20" i="31"/>
  <c r="E20" i="27"/>
  <c r="B20" i="26"/>
  <c r="F22" i="33"/>
  <c r="B24" i="33"/>
  <c r="C23" i="33"/>
  <c r="C21" i="31"/>
  <c r="F21" i="31" s="1"/>
  <c r="B22" i="31"/>
  <c r="E20" i="30"/>
  <c r="C21" i="30"/>
  <c r="B22" i="30"/>
  <c r="C20" i="28"/>
  <c r="B21" i="28"/>
  <c r="B22" i="27"/>
  <c r="C21" i="27"/>
  <c r="B22" i="25" l="1"/>
  <c r="D21" i="25"/>
  <c r="E21" i="25" s="1"/>
  <c r="C21" i="25"/>
  <c r="F21" i="25" s="1"/>
  <c r="F20" i="28"/>
  <c r="C20" i="26"/>
  <c r="D20" i="26"/>
  <c r="F21" i="30"/>
  <c r="E19" i="26"/>
  <c r="F19" i="26"/>
  <c r="E21" i="31"/>
  <c r="E21" i="27"/>
  <c r="B21" i="26"/>
  <c r="F23" i="33"/>
  <c r="E20" i="28"/>
  <c r="B25" i="33"/>
  <c r="C24" i="33"/>
  <c r="C22" i="31"/>
  <c r="F22" i="31" s="1"/>
  <c r="B23" i="31"/>
  <c r="E21" i="30"/>
  <c r="C22" i="30"/>
  <c r="B23" i="30"/>
  <c r="C21" i="28"/>
  <c r="B22" i="28"/>
  <c r="D22" i="28" s="1"/>
  <c r="B23" i="27"/>
  <c r="C22" i="27"/>
  <c r="B23" i="25" l="1"/>
  <c r="D22" i="25"/>
  <c r="E22" i="25" s="1"/>
  <c r="C22" i="25"/>
  <c r="F22" i="25" s="1"/>
  <c r="F21" i="28"/>
  <c r="C21" i="26"/>
  <c r="D21" i="26"/>
  <c r="F22" i="30"/>
  <c r="E22" i="27"/>
  <c r="E20" i="26"/>
  <c r="F20" i="26"/>
  <c r="E22" i="31"/>
  <c r="B22" i="26"/>
  <c r="F24" i="33"/>
  <c r="E21" i="28"/>
  <c r="C25" i="33"/>
  <c r="B26" i="33"/>
  <c r="C23" i="31"/>
  <c r="F23" i="31" s="1"/>
  <c r="B24" i="31"/>
  <c r="E22" i="30"/>
  <c r="C23" i="30"/>
  <c r="B24" i="30"/>
  <c r="C22" i="28"/>
  <c r="B23" i="28"/>
  <c r="D23" i="28" s="1"/>
  <c r="B24" i="27"/>
  <c r="C23" i="27"/>
  <c r="B24" i="25" l="1"/>
  <c r="D23" i="25"/>
  <c r="E23" i="25" s="1"/>
  <c r="C23" i="25"/>
  <c r="F23" i="25" s="1"/>
  <c r="F22" i="28"/>
  <c r="C22" i="26"/>
  <c r="D22" i="26"/>
  <c r="F23" i="30"/>
  <c r="E23" i="27"/>
  <c r="F21" i="26"/>
  <c r="E21" i="26"/>
  <c r="E23" i="31"/>
  <c r="B23" i="26"/>
  <c r="F25" i="33"/>
  <c r="E22" i="28"/>
  <c r="C26" i="33"/>
  <c r="B27" i="33"/>
  <c r="C24" i="31"/>
  <c r="F24" i="31" s="1"/>
  <c r="B25" i="31"/>
  <c r="E23" i="30"/>
  <c r="C24" i="30"/>
  <c r="B25" i="30"/>
  <c r="C23" i="28"/>
  <c r="B24" i="28"/>
  <c r="D24" i="28" s="1"/>
  <c r="B25" i="27"/>
  <c r="C24" i="27"/>
  <c r="B25" i="25" l="1"/>
  <c r="D24" i="25"/>
  <c r="E24" i="25" s="1"/>
  <c r="C24" i="25"/>
  <c r="F24" i="25" s="1"/>
  <c r="F23" i="28"/>
  <c r="C23" i="26"/>
  <c r="D23" i="26"/>
  <c r="F24" i="30"/>
  <c r="E22" i="26"/>
  <c r="F22" i="26"/>
  <c r="E24" i="31"/>
  <c r="E24" i="27"/>
  <c r="B24" i="26"/>
  <c r="F26" i="33"/>
  <c r="E23" i="28"/>
  <c r="C27" i="33"/>
  <c r="B28" i="33"/>
  <c r="C25" i="31"/>
  <c r="F25" i="31" s="1"/>
  <c r="B26" i="31"/>
  <c r="E24" i="30"/>
  <c r="C25" i="30"/>
  <c r="B26" i="30"/>
  <c r="C24" i="28"/>
  <c r="B25" i="28"/>
  <c r="D25" i="28" s="1"/>
  <c r="B26" i="27"/>
  <c r="C25" i="27"/>
  <c r="B26" i="25" l="1"/>
  <c r="D25" i="25"/>
  <c r="E25" i="25" s="1"/>
  <c r="C25" i="25"/>
  <c r="F25" i="25" s="1"/>
  <c r="F24" i="28"/>
  <c r="C24" i="26"/>
  <c r="D24" i="26"/>
  <c r="F25" i="30"/>
  <c r="F23" i="26"/>
  <c r="E23" i="26"/>
  <c r="E25" i="31"/>
  <c r="E25" i="27"/>
  <c r="B25" i="26"/>
  <c r="F27" i="33"/>
  <c r="E24" i="28"/>
  <c r="B29" i="33"/>
  <c r="C28" i="33"/>
  <c r="C26" i="31"/>
  <c r="F26" i="31" s="1"/>
  <c r="B27" i="31"/>
  <c r="E25" i="30"/>
  <c r="C26" i="30"/>
  <c r="B27" i="30"/>
  <c r="C25" i="28"/>
  <c r="B26" i="28"/>
  <c r="D26" i="28" s="1"/>
  <c r="B27" i="27"/>
  <c r="C26" i="27"/>
  <c r="B27" i="25" l="1"/>
  <c r="D26" i="25"/>
  <c r="E26" i="25" s="1"/>
  <c r="C26" i="25"/>
  <c r="F26" i="25" s="1"/>
  <c r="F25" i="28"/>
  <c r="C25" i="26"/>
  <c r="D25" i="26"/>
  <c r="F26" i="30"/>
  <c r="E24" i="26"/>
  <c r="F24" i="26"/>
  <c r="E26" i="31"/>
  <c r="E26" i="27"/>
  <c r="B26" i="26"/>
  <c r="F28" i="33"/>
  <c r="E25" i="28"/>
  <c r="B30" i="33"/>
  <c r="C29" i="33"/>
  <c r="C27" i="31"/>
  <c r="F27" i="31" s="1"/>
  <c r="B28" i="31"/>
  <c r="E26" i="30"/>
  <c r="C27" i="30"/>
  <c r="B28" i="30"/>
  <c r="C26" i="28"/>
  <c r="B27" i="28"/>
  <c r="D27" i="28" s="1"/>
  <c r="B28" i="27"/>
  <c r="C27" i="27"/>
  <c r="B28" i="25" l="1"/>
  <c r="D27" i="25"/>
  <c r="E27" i="25" s="1"/>
  <c r="C27" i="25"/>
  <c r="F27" i="25" s="1"/>
  <c r="F26" i="28"/>
  <c r="C26" i="26"/>
  <c r="D26" i="26"/>
  <c r="F27" i="30"/>
  <c r="E27" i="27"/>
  <c r="E25" i="26"/>
  <c r="F25" i="26"/>
  <c r="E27" i="31"/>
  <c r="B27" i="26"/>
  <c r="F29" i="33"/>
  <c r="E26" i="28"/>
  <c r="C30" i="33"/>
  <c r="B31" i="33"/>
  <c r="C28" i="31"/>
  <c r="F28" i="31" s="1"/>
  <c r="B29" i="31"/>
  <c r="E27" i="30"/>
  <c r="C28" i="30"/>
  <c r="B29" i="30"/>
  <c r="C27" i="28"/>
  <c r="B28" i="28"/>
  <c r="D28" i="28" s="1"/>
  <c r="B29" i="27"/>
  <c r="C28" i="27"/>
  <c r="B29" i="25" l="1"/>
  <c r="D28" i="25"/>
  <c r="E28" i="25" s="1"/>
  <c r="C28" i="25"/>
  <c r="F28" i="25" s="1"/>
  <c r="F27" i="28"/>
  <c r="C27" i="26"/>
  <c r="D27" i="26"/>
  <c r="F28" i="30"/>
  <c r="F26" i="26"/>
  <c r="E26" i="26"/>
  <c r="E28" i="31"/>
  <c r="E28" i="27"/>
  <c r="B28" i="26"/>
  <c r="F30" i="33"/>
  <c r="E27" i="28"/>
  <c r="B32" i="33"/>
  <c r="C31" i="33"/>
  <c r="C29" i="31"/>
  <c r="F29" i="31" s="1"/>
  <c r="B30" i="31"/>
  <c r="E28" i="30"/>
  <c r="C29" i="30"/>
  <c r="B30" i="30"/>
  <c r="C28" i="28"/>
  <c r="B29" i="28"/>
  <c r="D29" i="28" s="1"/>
  <c r="B30" i="27"/>
  <c r="C29" i="27"/>
  <c r="B30" i="25" l="1"/>
  <c r="D29" i="25"/>
  <c r="E29" i="25" s="1"/>
  <c r="C29" i="25"/>
  <c r="F29" i="25" s="1"/>
  <c r="F28" i="28"/>
  <c r="C28" i="26"/>
  <c r="D28" i="26"/>
  <c r="F29" i="30"/>
  <c r="E29" i="30"/>
  <c r="E27" i="26"/>
  <c r="F27" i="26"/>
  <c r="E29" i="31"/>
  <c r="E29" i="27"/>
  <c r="B29" i="26"/>
  <c r="F31" i="33"/>
  <c r="E28" i="28"/>
  <c r="C32" i="33"/>
  <c r="B33" i="33"/>
  <c r="C30" i="31"/>
  <c r="F30" i="31" s="1"/>
  <c r="B31" i="31"/>
  <c r="C30" i="30"/>
  <c r="B31" i="30"/>
  <c r="C29" i="28"/>
  <c r="B30" i="28"/>
  <c r="D30" i="28" s="1"/>
  <c r="B31" i="27"/>
  <c r="C30" i="27"/>
  <c r="B31" i="25" l="1"/>
  <c r="D30" i="25"/>
  <c r="E30" i="25" s="1"/>
  <c r="C30" i="25"/>
  <c r="F30" i="25" s="1"/>
  <c r="F29" i="28"/>
  <c r="C29" i="26"/>
  <c r="D29" i="26"/>
  <c r="F30" i="30"/>
  <c r="F28" i="26"/>
  <c r="E28" i="26"/>
  <c r="E30" i="31"/>
  <c r="E30" i="27"/>
  <c r="B30" i="26"/>
  <c r="F32" i="33"/>
  <c r="E29" i="28"/>
  <c r="B34" i="33"/>
  <c r="C33" i="33"/>
  <c r="C31" i="31"/>
  <c r="F31" i="31" s="1"/>
  <c r="B32" i="31"/>
  <c r="E30" i="30"/>
  <c r="C31" i="30"/>
  <c r="B32" i="30"/>
  <c r="C30" i="28"/>
  <c r="B31" i="28"/>
  <c r="D31" i="28" s="1"/>
  <c r="B32" i="27"/>
  <c r="C31" i="27"/>
  <c r="B32" i="25" l="1"/>
  <c r="D31" i="25"/>
  <c r="E31" i="25" s="1"/>
  <c r="C31" i="25"/>
  <c r="F31" i="25" s="1"/>
  <c r="F30" i="28"/>
  <c r="C30" i="26"/>
  <c r="D30" i="26"/>
  <c r="F31" i="30"/>
  <c r="F29" i="26"/>
  <c r="E29" i="26"/>
  <c r="E31" i="31"/>
  <c r="E31" i="27"/>
  <c r="B31" i="26"/>
  <c r="F33" i="33"/>
  <c r="E30" i="28"/>
  <c r="C34" i="33"/>
  <c r="B35" i="33"/>
  <c r="C32" i="31"/>
  <c r="F32" i="31" s="1"/>
  <c r="B33" i="31"/>
  <c r="E31" i="30"/>
  <c r="C32" i="30"/>
  <c r="B33" i="30"/>
  <c r="C31" i="28"/>
  <c r="B32" i="28"/>
  <c r="D32" i="28" s="1"/>
  <c r="B33" i="27"/>
  <c r="C32" i="27"/>
  <c r="B33" i="25" l="1"/>
  <c r="D32" i="25"/>
  <c r="E32" i="25" s="1"/>
  <c r="C32" i="25"/>
  <c r="F32" i="25" s="1"/>
  <c r="F31" i="28"/>
  <c r="C31" i="26"/>
  <c r="D31" i="26"/>
  <c r="F32" i="30"/>
  <c r="F30" i="26"/>
  <c r="E30" i="26"/>
  <c r="E32" i="31"/>
  <c r="E32" i="27"/>
  <c r="B32" i="26"/>
  <c r="F34" i="33"/>
  <c r="E31" i="28"/>
  <c r="C35" i="33"/>
  <c r="B36" i="33"/>
  <c r="C33" i="31"/>
  <c r="F33" i="31" s="1"/>
  <c r="B34" i="31"/>
  <c r="E32" i="30"/>
  <c r="C33" i="30"/>
  <c r="B34" i="30"/>
  <c r="C32" i="28"/>
  <c r="B33" i="28"/>
  <c r="D33" i="28" s="1"/>
  <c r="B34" i="27"/>
  <c r="C33" i="27"/>
  <c r="B34" i="25" l="1"/>
  <c r="D33" i="25"/>
  <c r="E33" i="25" s="1"/>
  <c r="C33" i="25"/>
  <c r="F33" i="25" s="1"/>
  <c r="F32" i="28"/>
  <c r="C32" i="26"/>
  <c r="D32" i="26"/>
  <c r="F33" i="30"/>
  <c r="F31" i="26"/>
  <c r="E31" i="26"/>
  <c r="E33" i="31"/>
  <c r="E33" i="27"/>
  <c r="B33" i="26"/>
  <c r="F35" i="33"/>
  <c r="E32" i="28"/>
  <c r="C36" i="33"/>
  <c r="B37" i="33"/>
  <c r="C34" i="31"/>
  <c r="F34" i="31" s="1"/>
  <c r="B35" i="31"/>
  <c r="E33" i="30"/>
  <c r="C34" i="30"/>
  <c r="B35" i="30"/>
  <c r="C33" i="28"/>
  <c r="B34" i="28"/>
  <c r="D34" i="28" s="1"/>
  <c r="B35" i="27"/>
  <c r="C34" i="27"/>
  <c r="B35" i="25" l="1"/>
  <c r="D34" i="25"/>
  <c r="E34" i="25" s="1"/>
  <c r="C34" i="25"/>
  <c r="F34" i="25" s="1"/>
  <c r="F33" i="28"/>
  <c r="C33" i="26"/>
  <c r="D33" i="26"/>
  <c r="F34" i="30"/>
  <c r="F32" i="26"/>
  <c r="E32" i="26"/>
  <c r="E34" i="31"/>
  <c r="E34" i="27"/>
  <c r="B34" i="26"/>
  <c r="F36" i="33"/>
  <c r="E33" i="28"/>
  <c r="B38" i="33"/>
  <c r="C37" i="33"/>
  <c r="C35" i="31"/>
  <c r="F35" i="31" s="1"/>
  <c r="B36" i="31"/>
  <c r="E34" i="30"/>
  <c r="C35" i="30"/>
  <c r="B36" i="30"/>
  <c r="C34" i="28"/>
  <c r="B35" i="28"/>
  <c r="D35" i="28" s="1"/>
  <c r="B36" i="27"/>
  <c r="C35" i="27"/>
  <c r="B36" i="25" l="1"/>
  <c r="D35" i="25"/>
  <c r="E35" i="25" s="1"/>
  <c r="C35" i="25"/>
  <c r="F35" i="25" s="1"/>
  <c r="F34" i="28"/>
  <c r="C34" i="26"/>
  <c r="D34" i="26"/>
  <c r="F35" i="30"/>
  <c r="E33" i="26"/>
  <c r="F33" i="26"/>
  <c r="E35" i="31"/>
  <c r="E35" i="27"/>
  <c r="B35" i="26"/>
  <c r="F37" i="33"/>
  <c r="E34" i="28"/>
  <c r="C38" i="33"/>
  <c r="B39" i="33"/>
  <c r="C36" i="31"/>
  <c r="F36" i="31" s="1"/>
  <c r="B37" i="31"/>
  <c r="E35" i="30"/>
  <c r="C36" i="30"/>
  <c r="B37" i="30"/>
  <c r="C35" i="28"/>
  <c r="B36" i="28"/>
  <c r="D36" i="28" s="1"/>
  <c r="B37" i="27"/>
  <c r="C36" i="27"/>
  <c r="B37" i="25" l="1"/>
  <c r="D36" i="25"/>
  <c r="E36" i="25" s="1"/>
  <c r="C36" i="25"/>
  <c r="F36" i="25" s="1"/>
  <c r="F35" i="28"/>
  <c r="C35" i="26"/>
  <c r="D35" i="26"/>
  <c r="F36" i="30"/>
  <c r="F34" i="26"/>
  <c r="E34" i="26"/>
  <c r="E36" i="31"/>
  <c r="E36" i="27"/>
  <c r="B36" i="26"/>
  <c r="F38" i="33"/>
  <c r="E35" i="28"/>
  <c r="B40" i="33"/>
  <c r="C39" i="33"/>
  <c r="C37" i="31"/>
  <c r="F37" i="31" s="1"/>
  <c r="B38" i="31"/>
  <c r="E36" i="30"/>
  <c r="C37" i="30"/>
  <c r="B38" i="30"/>
  <c r="C36" i="28"/>
  <c r="B37" i="28"/>
  <c r="D37" i="28" s="1"/>
  <c r="C37" i="27"/>
  <c r="B38" i="27"/>
  <c r="B38" i="25" l="1"/>
  <c r="D37" i="25"/>
  <c r="E37" i="25" s="1"/>
  <c r="C37" i="25"/>
  <c r="F37" i="25" s="1"/>
  <c r="F36" i="28"/>
  <c r="C36" i="26"/>
  <c r="D36" i="26"/>
  <c r="F37" i="30"/>
  <c r="E35" i="26"/>
  <c r="F35" i="26"/>
  <c r="E37" i="31"/>
  <c r="E37" i="27"/>
  <c r="B37" i="26"/>
  <c r="F39" i="33"/>
  <c r="E36" i="28"/>
  <c r="B41" i="33"/>
  <c r="C40" i="33"/>
  <c r="B39" i="31"/>
  <c r="C38" i="31"/>
  <c r="F38" i="31" s="1"/>
  <c r="E37" i="30"/>
  <c r="B39" i="30"/>
  <c r="C38" i="30"/>
  <c r="B38" i="28"/>
  <c r="D38" i="28" s="1"/>
  <c r="C37" i="28"/>
  <c r="B39" i="27"/>
  <c r="C38" i="27"/>
  <c r="B39" i="25" l="1"/>
  <c r="D38" i="25"/>
  <c r="E38" i="25" s="1"/>
  <c r="C38" i="25"/>
  <c r="F38" i="25" s="1"/>
  <c r="F37" i="28"/>
  <c r="C37" i="26"/>
  <c r="D37" i="26"/>
  <c r="F38" i="30"/>
  <c r="F36" i="26"/>
  <c r="E36" i="26"/>
  <c r="E38" i="31"/>
  <c r="E38" i="27"/>
  <c r="B38" i="26"/>
  <c r="F40" i="33"/>
  <c r="E37" i="28"/>
  <c r="C41" i="33"/>
  <c r="B42" i="33"/>
  <c r="C39" i="31"/>
  <c r="F39" i="31" s="1"/>
  <c r="B40" i="31"/>
  <c r="E38" i="30"/>
  <c r="C39" i="30"/>
  <c r="B40" i="30"/>
  <c r="C38" i="28"/>
  <c r="B39" i="28"/>
  <c r="D39" i="28" s="1"/>
  <c r="B40" i="27"/>
  <c r="C39" i="27"/>
  <c r="B40" i="25" l="1"/>
  <c r="D39" i="25"/>
  <c r="E39" i="25" s="1"/>
  <c r="C39" i="25"/>
  <c r="F39" i="25" s="1"/>
  <c r="F38" i="28"/>
  <c r="C38" i="26"/>
  <c r="D38" i="26"/>
  <c r="F39" i="30"/>
  <c r="F37" i="26"/>
  <c r="E37" i="26"/>
  <c r="E39" i="31"/>
  <c r="E39" i="27"/>
  <c r="B39" i="26"/>
  <c r="F41" i="33"/>
  <c r="E38" i="28"/>
  <c r="B43" i="33"/>
  <c r="C42" i="33"/>
  <c r="B41" i="31"/>
  <c r="C40" i="31"/>
  <c r="F40" i="31" s="1"/>
  <c r="E39" i="30"/>
  <c r="B41" i="30"/>
  <c r="C40" i="30"/>
  <c r="B40" i="28"/>
  <c r="D40" i="28" s="1"/>
  <c r="C39" i="28"/>
  <c r="B41" i="27"/>
  <c r="C40" i="27"/>
  <c r="B41" i="25" l="1"/>
  <c r="D40" i="25"/>
  <c r="E40" i="25" s="1"/>
  <c r="C40" i="25"/>
  <c r="F40" i="25" s="1"/>
  <c r="F39" i="28"/>
  <c r="C39" i="26"/>
  <c r="D39" i="26"/>
  <c r="F40" i="30"/>
  <c r="E38" i="26"/>
  <c r="F38" i="26"/>
  <c r="E40" i="31"/>
  <c r="E40" i="27"/>
  <c r="B40" i="26"/>
  <c r="F42" i="33"/>
  <c r="E39" i="28"/>
  <c r="C43" i="33"/>
  <c r="B44" i="33"/>
  <c r="C44" i="33" s="1"/>
  <c r="B42" i="31"/>
  <c r="C41" i="31"/>
  <c r="F41" i="31" s="1"/>
  <c r="E40" i="30"/>
  <c r="C41" i="30"/>
  <c r="B42" i="30"/>
  <c r="C42" i="30" s="1"/>
  <c r="C40" i="28"/>
  <c r="B41" i="28"/>
  <c r="C41" i="27"/>
  <c r="B42" i="27"/>
  <c r="C42" i="27" s="1"/>
  <c r="B42" i="25" l="1"/>
  <c r="D42" i="25" s="1"/>
  <c r="D41" i="25"/>
  <c r="E41" i="25" s="1"/>
  <c r="C41" i="25"/>
  <c r="F41" i="25" s="1"/>
  <c r="C41" i="28"/>
  <c r="D41" i="28"/>
  <c r="F41" i="28"/>
  <c r="F40" i="28"/>
  <c r="C40" i="26"/>
  <c r="D40" i="26"/>
  <c r="F41" i="30"/>
  <c r="F42" i="30"/>
  <c r="E42" i="27"/>
  <c r="F39" i="26"/>
  <c r="E39" i="26"/>
  <c r="E41" i="31"/>
  <c r="E41" i="27"/>
  <c r="B41" i="26"/>
  <c r="F44" i="33"/>
  <c r="F43" i="33"/>
  <c r="E41" i="28"/>
  <c r="E40" i="28"/>
  <c r="C42" i="31"/>
  <c r="F42" i="31" s="1"/>
  <c r="B43" i="31"/>
  <c r="C43" i="31" s="1"/>
  <c r="F43" i="31" s="1"/>
  <c r="E41" i="30"/>
  <c r="E42" i="30"/>
  <c r="C42" i="25"/>
  <c r="F42" i="25" s="1"/>
  <c r="C41" i="26" l="1"/>
  <c r="D41" i="26"/>
  <c r="F40" i="26"/>
  <c r="E40" i="26"/>
  <c r="E43" i="31"/>
  <c r="E42" i="31"/>
  <c r="B42" i="26"/>
  <c r="E42" i="25"/>
  <c r="C42" i="26" l="1"/>
  <c r="D42" i="26"/>
  <c r="E41" i="26"/>
  <c r="F41" i="26"/>
  <c r="E42" i="26"/>
  <c r="F42" i="26"/>
  <c r="J36" i="24"/>
  <c r="H36" i="24"/>
  <c r="C36" i="24"/>
  <c r="H35" i="24"/>
  <c r="J35" i="24" s="1"/>
  <c r="C35" i="24"/>
  <c r="H34" i="24"/>
  <c r="J34" i="24" s="1"/>
  <c r="C34" i="24"/>
  <c r="C33" i="24"/>
  <c r="J32" i="24"/>
  <c r="H32" i="24"/>
  <c r="C32" i="24"/>
  <c r="H31" i="24"/>
  <c r="J31" i="24" s="1"/>
  <c r="C31" i="24"/>
  <c r="H30" i="24"/>
  <c r="J30" i="24" s="1"/>
  <c r="C30" i="24"/>
  <c r="C29" i="24"/>
  <c r="C28" i="24"/>
  <c r="C27" i="24"/>
  <c r="C26" i="24"/>
  <c r="C25" i="24"/>
  <c r="C24" i="24"/>
  <c r="C23" i="24"/>
  <c r="C22" i="24"/>
  <c r="C21" i="24"/>
  <c r="C20" i="24"/>
  <c r="C19" i="24"/>
  <c r="C18" i="24"/>
  <c r="C17" i="24"/>
  <c r="C16" i="24"/>
  <c r="C15" i="24"/>
  <c r="C14" i="24"/>
  <c r="C13" i="24"/>
  <c r="C12" i="24"/>
  <c r="C11" i="24"/>
  <c r="I7" i="24"/>
  <c r="I6" i="24"/>
  <c r="F5" i="24"/>
  <c r="D23" i="24" s="1"/>
  <c r="E23" i="24" s="1"/>
  <c r="C5" i="24"/>
  <c r="C2" i="24"/>
  <c r="H33" i="24" s="1"/>
  <c r="J33" i="24" s="1"/>
  <c r="D43" i="23"/>
  <c r="D42" i="23"/>
  <c r="J35" i="19"/>
  <c r="J34" i="19"/>
  <c r="J35" i="18"/>
  <c r="J34" i="18"/>
  <c r="J34" i="16"/>
  <c r="J33" i="15"/>
  <c r="J31" i="15"/>
  <c r="J30" i="13"/>
  <c r="J33" i="12"/>
  <c r="J36" i="23"/>
  <c r="J37" i="23"/>
  <c r="J38" i="23"/>
  <c r="D13" i="23"/>
  <c r="D14" i="23"/>
  <c r="D15" i="23"/>
  <c r="D16" i="23"/>
  <c r="D17" i="23"/>
  <c r="D18" i="23"/>
  <c r="D19" i="23"/>
  <c r="D20" i="23"/>
  <c r="D21" i="23"/>
  <c r="D22" i="23"/>
  <c r="D23" i="23"/>
  <c r="D24" i="23"/>
  <c r="D25" i="23"/>
  <c r="D26" i="23"/>
  <c r="D27" i="23"/>
  <c r="D28" i="23"/>
  <c r="D29" i="23"/>
  <c r="D30" i="23"/>
  <c r="D31" i="23"/>
  <c r="D32" i="23"/>
  <c r="D33" i="23"/>
  <c r="D34" i="23"/>
  <c r="D35" i="23"/>
  <c r="D36" i="23"/>
  <c r="D37" i="23"/>
  <c r="D12" i="23"/>
  <c r="H14" i="23"/>
  <c r="H38" i="23"/>
  <c r="H35" i="23"/>
  <c r="J35" i="23" s="1"/>
  <c r="B43" i="23"/>
  <c r="C42" i="23"/>
  <c r="C43" i="23" s="1"/>
  <c r="B42" i="23"/>
  <c r="C37" i="23"/>
  <c r="H39" i="23"/>
  <c r="J39" i="23" s="1"/>
  <c r="C36" i="23"/>
  <c r="H37" i="23"/>
  <c r="C35" i="23"/>
  <c r="H36" i="23"/>
  <c r="C34" i="23"/>
  <c r="H34" i="23"/>
  <c r="J34" i="23" s="1"/>
  <c r="C33" i="23"/>
  <c r="H33" i="23"/>
  <c r="J33" i="23" s="1"/>
  <c r="C32" i="23"/>
  <c r="H32" i="23"/>
  <c r="J32" i="23" s="1"/>
  <c r="C31" i="23"/>
  <c r="H31" i="23"/>
  <c r="J31" i="23" s="1"/>
  <c r="C30" i="23"/>
  <c r="C29" i="23"/>
  <c r="C28" i="23"/>
  <c r="C27" i="23"/>
  <c r="C26" i="23"/>
  <c r="C25" i="23"/>
  <c r="C24" i="23"/>
  <c r="C23" i="23"/>
  <c r="C22" i="23"/>
  <c r="C21" i="23"/>
  <c r="C20" i="23"/>
  <c r="C19" i="23"/>
  <c r="C18" i="23"/>
  <c r="C17" i="23"/>
  <c r="C16" i="23"/>
  <c r="C15" i="23"/>
  <c r="C14" i="23"/>
  <c r="C13" i="23"/>
  <c r="C12" i="23"/>
  <c r="C8" i="23"/>
  <c r="C5" i="21"/>
  <c r="C6" i="22"/>
  <c r="C3" i="21"/>
  <c r="C35" i="22"/>
  <c r="C34" i="22"/>
  <c r="C33" i="22"/>
  <c r="C32" i="22"/>
  <c r="C31" i="22"/>
  <c r="C30" i="22"/>
  <c r="C29" i="22"/>
  <c r="C28" i="22"/>
  <c r="C27" i="22"/>
  <c r="C26" i="22"/>
  <c r="C25" i="22"/>
  <c r="C24" i="22"/>
  <c r="C23" i="22"/>
  <c r="C22" i="22"/>
  <c r="C21" i="22"/>
  <c r="C20" i="22"/>
  <c r="C19" i="22"/>
  <c r="C18" i="22"/>
  <c r="C17" i="22"/>
  <c r="C16" i="22"/>
  <c r="C15" i="22"/>
  <c r="C14" i="22"/>
  <c r="C13" i="22"/>
  <c r="C12" i="22"/>
  <c r="C11" i="22"/>
  <c r="C10" i="22"/>
  <c r="E37" i="23" l="1"/>
  <c r="D20" i="24"/>
  <c r="E20" i="24" s="1"/>
  <c r="D18" i="24"/>
  <c r="E18" i="24" s="1"/>
  <c r="D26" i="24"/>
  <c r="E26" i="24" s="1"/>
  <c r="D34" i="24"/>
  <c r="E34" i="24" s="1"/>
  <c r="D13" i="24"/>
  <c r="E13" i="24" s="1"/>
  <c r="D21" i="24"/>
  <c r="E21" i="24" s="1"/>
  <c r="D29" i="24"/>
  <c r="E29" i="24" s="1"/>
  <c r="D31" i="24"/>
  <c r="E31" i="24" s="1"/>
  <c r="D16" i="24"/>
  <c r="E16" i="24" s="1"/>
  <c r="C3" i="24"/>
  <c r="D11" i="24"/>
  <c r="E11" i="24" s="1"/>
  <c r="D24" i="24"/>
  <c r="E24" i="24" s="1"/>
  <c r="D36" i="24"/>
  <c r="E36" i="24" s="1"/>
  <c r="C4" i="24"/>
  <c r="D19" i="24"/>
  <c r="E19" i="24" s="1"/>
  <c r="D27" i="24"/>
  <c r="E27" i="24" s="1"/>
  <c r="D33" i="24"/>
  <c r="E33" i="24" s="1"/>
  <c r="D14" i="24"/>
  <c r="E14" i="24" s="1"/>
  <c r="D22" i="24"/>
  <c r="E22" i="24" s="1"/>
  <c r="D30" i="24"/>
  <c r="E30" i="24" s="1"/>
  <c r="D12" i="24"/>
  <c r="E12" i="24" s="1"/>
  <c r="D17" i="24"/>
  <c r="E17" i="24" s="1"/>
  <c r="D25" i="24"/>
  <c r="E25" i="24" s="1"/>
  <c r="D35" i="24"/>
  <c r="E35" i="24" s="1"/>
  <c r="D28" i="24"/>
  <c r="E28" i="24" s="1"/>
  <c r="D32" i="24"/>
  <c r="E32" i="24" s="1"/>
  <c r="H37" i="24"/>
  <c r="J37" i="24" s="1"/>
  <c r="F7" i="24"/>
  <c r="H12" i="24"/>
  <c r="D15" i="24"/>
  <c r="E15" i="24" s="1"/>
  <c r="E20" i="23"/>
  <c r="E36" i="23"/>
  <c r="E19" i="23"/>
  <c r="E16" i="23"/>
  <c r="E24" i="23"/>
  <c r="E31" i="23"/>
  <c r="E35" i="23"/>
  <c r="E15" i="23"/>
  <c r="E23" i="23"/>
  <c r="E28" i="23"/>
  <c r="E27" i="23"/>
  <c r="E13" i="23"/>
  <c r="E21" i="23"/>
  <c r="E29" i="23"/>
  <c r="E17" i="23"/>
  <c r="E25" i="23"/>
  <c r="E18" i="23"/>
  <c r="E26" i="23"/>
  <c r="E32" i="23"/>
  <c r="E33" i="23"/>
  <c r="E14" i="23"/>
  <c r="E22" i="23"/>
  <c r="E30" i="23"/>
  <c r="E34" i="23"/>
  <c r="E12" i="23"/>
  <c r="C5" i="22"/>
  <c r="C4" i="22" s="1"/>
  <c r="C3" i="22"/>
  <c r="H34" i="20"/>
  <c r="J34" i="20" s="1"/>
  <c r="H33" i="20"/>
  <c r="J33" i="20" s="1"/>
  <c r="H32" i="20"/>
  <c r="J32" i="20" s="1"/>
  <c r="H31" i="20"/>
  <c r="J31" i="20" s="1"/>
  <c r="H30" i="20"/>
  <c r="J30" i="20" s="1"/>
  <c r="H37" i="11"/>
  <c r="J37" i="11" s="1"/>
  <c r="H36" i="11"/>
  <c r="J36" i="11" s="1"/>
  <c r="H35" i="11"/>
  <c r="J35" i="11" s="1"/>
  <c r="H34" i="11"/>
  <c r="J34" i="11" s="1"/>
  <c r="H32" i="11"/>
  <c r="J32" i="11" s="1"/>
  <c r="H31" i="11"/>
  <c r="J31" i="11" s="1"/>
  <c r="H30" i="11"/>
  <c r="J30" i="11" s="1"/>
  <c r="H36" i="19"/>
  <c r="J36" i="19" s="1"/>
  <c r="H35" i="19"/>
  <c r="H34" i="19"/>
  <c r="H33" i="19"/>
  <c r="J33" i="19" s="1"/>
  <c r="H32" i="19"/>
  <c r="J32" i="19" s="1"/>
  <c r="H31" i="19"/>
  <c r="J31" i="19" s="1"/>
  <c r="H30" i="19"/>
  <c r="J30" i="19" s="1"/>
  <c r="H37" i="18"/>
  <c r="J37" i="18" s="1"/>
  <c r="H36" i="18"/>
  <c r="J36" i="18" s="1"/>
  <c r="H35" i="18"/>
  <c r="H34" i="18"/>
  <c r="H33" i="18"/>
  <c r="J33" i="18" s="1"/>
  <c r="H32" i="18"/>
  <c r="J32" i="18" s="1"/>
  <c r="H31" i="18"/>
  <c r="J31" i="18" s="1"/>
  <c r="H30" i="18"/>
  <c r="J30" i="18" s="1"/>
  <c r="H35" i="16"/>
  <c r="J35" i="16" s="1"/>
  <c r="H34" i="16"/>
  <c r="H33" i="16"/>
  <c r="J33" i="16" s="1"/>
  <c r="H32" i="16"/>
  <c r="J32" i="16" s="1"/>
  <c r="H31" i="16"/>
  <c r="J31" i="16" s="1"/>
  <c r="H30" i="16"/>
  <c r="J30" i="16" s="1"/>
  <c r="H34" i="15"/>
  <c r="J34" i="15" s="1"/>
  <c r="H33" i="15"/>
  <c r="H32" i="15"/>
  <c r="J32" i="15" s="1"/>
  <c r="H31" i="15"/>
  <c r="H30" i="15"/>
  <c r="J30" i="15" s="1"/>
  <c r="H33" i="14"/>
  <c r="J33" i="14" s="1"/>
  <c r="H35" i="14"/>
  <c r="J35" i="14" s="1"/>
  <c r="H34" i="14"/>
  <c r="J34" i="14" s="1"/>
  <c r="H32" i="14"/>
  <c r="J32" i="14" s="1"/>
  <c r="H31" i="14"/>
  <c r="J31" i="14" s="1"/>
  <c r="H30" i="14"/>
  <c r="J30" i="14" s="1"/>
  <c r="H34" i="13"/>
  <c r="J34" i="13" s="1"/>
  <c r="H33" i="13"/>
  <c r="J33" i="13" s="1"/>
  <c r="H32" i="13"/>
  <c r="J32" i="13" s="1"/>
  <c r="H31" i="13"/>
  <c r="J31" i="13" s="1"/>
  <c r="H30" i="13"/>
  <c r="H34" i="12"/>
  <c r="J34" i="12" s="1"/>
  <c r="H33" i="12"/>
  <c r="H32" i="12"/>
  <c r="J32" i="12" s="1"/>
  <c r="H31" i="12"/>
  <c r="J31" i="12" s="1"/>
  <c r="H30" i="12"/>
  <c r="J30" i="12" s="1"/>
  <c r="H32" i="3"/>
  <c r="J32" i="3" s="1"/>
  <c r="H31" i="3"/>
  <c r="J31" i="3" s="1"/>
  <c r="H30" i="3"/>
  <c r="J30" i="3" s="1"/>
  <c r="H32" i="2"/>
  <c r="J32" i="2" s="1"/>
  <c r="H33" i="2"/>
  <c r="J33" i="2" s="1"/>
  <c r="H31" i="2"/>
  <c r="J31" i="2" s="1"/>
  <c r="H30" i="2"/>
  <c r="J30" i="2" s="1"/>
  <c r="C6" i="33" l="1"/>
  <c r="E19" i="33"/>
  <c r="E20" i="33"/>
  <c r="E21" i="33"/>
  <c r="E22" i="33"/>
  <c r="E23" i="33"/>
  <c r="E24" i="33"/>
  <c r="E25" i="33"/>
  <c r="E26" i="33"/>
  <c r="E27" i="33"/>
  <c r="E28" i="33"/>
  <c r="E29" i="33"/>
  <c r="E30" i="33"/>
  <c r="E31" i="33"/>
  <c r="E32" i="33"/>
  <c r="E33" i="33"/>
  <c r="E34" i="33"/>
  <c r="E35" i="33"/>
  <c r="E36" i="33"/>
  <c r="E37" i="33"/>
  <c r="E38" i="33"/>
  <c r="E39" i="33"/>
  <c r="E40" i="33"/>
  <c r="E41" i="33"/>
  <c r="E42" i="33"/>
  <c r="E43" i="33"/>
  <c r="E44" i="33"/>
  <c r="D33" i="22"/>
  <c r="E33" i="22" s="1"/>
  <c r="D22" i="22"/>
  <c r="E22" i="22" s="1"/>
  <c r="D26" i="22"/>
  <c r="E26" i="22" s="1"/>
  <c r="D30" i="22"/>
  <c r="E30" i="22" s="1"/>
  <c r="D23" i="22"/>
  <c r="E23" i="22" s="1"/>
  <c r="D18" i="22"/>
  <c r="E18" i="22" s="1"/>
  <c r="D14" i="22"/>
  <c r="E14" i="22" s="1"/>
  <c r="D11" i="22"/>
  <c r="E11" i="22" s="1"/>
  <c r="K11" i="22"/>
  <c r="D15" i="22"/>
  <c r="E15" i="22" s="1"/>
  <c r="D31" i="22"/>
  <c r="E31" i="22" s="1"/>
  <c r="D32" i="22"/>
  <c r="E32" i="22" s="1"/>
  <c r="D27" i="22"/>
  <c r="E27" i="22" s="1"/>
  <c r="D24" i="22"/>
  <c r="E24" i="22" s="1"/>
  <c r="D35" i="22"/>
  <c r="E35" i="22" s="1"/>
  <c r="D19" i="22"/>
  <c r="E19" i="22" s="1"/>
  <c r="D10" i="22"/>
  <c r="E10" i="22" s="1"/>
  <c r="D13" i="22"/>
  <c r="E13" i="22" s="1"/>
  <c r="D28" i="22"/>
  <c r="E28" i="22" s="1"/>
  <c r="D29" i="22"/>
  <c r="E29" i="22" s="1"/>
  <c r="D20" i="22"/>
  <c r="E20" i="22" s="1"/>
  <c r="D16" i="22"/>
  <c r="E16" i="22" s="1"/>
  <c r="D12" i="22"/>
  <c r="E12" i="22" s="1"/>
  <c r="D17" i="22"/>
  <c r="E17" i="22" s="1"/>
  <c r="D25" i="22"/>
  <c r="E25" i="22" s="1"/>
  <c r="D21" i="22"/>
  <c r="E21" i="22" s="1"/>
  <c r="D34" i="22"/>
  <c r="E34" i="22" s="1"/>
  <c r="C11" i="21"/>
  <c r="C12" i="21"/>
  <c r="C13" i="21"/>
  <c r="C14" i="21"/>
  <c r="C15" i="21"/>
  <c r="C16" i="21"/>
  <c r="C17" i="21"/>
  <c r="C18" i="21"/>
  <c r="C19" i="21"/>
  <c r="C20" i="21"/>
  <c r="C21" i="21"/>
  <c r="C22" i="21"/>
  <c r="C23" i="21"/>
  <c r="C24" i="21"/>
  <c r="C25" i="21"/>
  <c r="C26" i="21"/>
  <c r="C27" i="21"/>
  <c r="C28" i="21"/>
  <c r="C29" i="21"/>
  <c r="C30" i="21"/>
  <c r="C31" i="21"/>
  <c r="C32" i="21"/>
  <c r="C33" i="21"/>
  <c r="C34" i="21"/>
  <c r="C35" i="21"/>
  <c r="C10" i="21"/>
  <c r="C6" i="21"/>
  <c r="C4" i="21" l="1"/>
  <c r="D34" i="21" s="1"/>
  <c r="E34" i="21" s="1"/>
  <c r="D16" i="21" l="1"/>
  <c r="E16" i="21" s="1"/>
  <c r="D22" i="21"/>
  <c r="E22" i="21" s="1"/>
  <c r="D35" i="21"/>
  <c r="E35" i="21" s="1"/>
  <c r="D15" i="21"/>
  <c r="E15" i="21" s="1"/>
  <c r="D25" i="21"/>
  <c r="E25" i="21" s="1"/>
  <c r="D31" i="21"/>
  <c r="E31" i="21" s="1"/>
  <c r="D21" i="21"/>
  <c r="E21" i="21" s="1"/>
  <c r="D26" i="21"/>
  <c r="E26" i="21" s="1"/>
  <c r="D19" i="21"/>
  <c r="E19" i="21" s="1"/>
  <c r="K11" i="21"/>
  <c r="D32" i="21"/>
  <c r="E32" i="21" s="1"/>
  <c r="D18" i="21"/>
  <c r="E18" i="21" s="1"/>
  <c r="D27" i="21"/>
  <c r="E27" i="21" s="1"/>
  <c r="D11" i="21"/>
  <c r="E11" i="21" s="1"/>
  <c r="D17" i="21"/>
  <c r="E17" i="21" s="1"/>
  <c r="D28" i="21"/>
  <c r="E28" i="21" s="1"/>
  <c r="D30" i="21"/>
  <c r="E30" i="21" s="1"/>
  <c r="D14" i="21"/>
  <c r="E14" i="21" s="1"/>
  <c r="D23" i="21"/>
  <c r="E23" i="21" s="1"/>
  <c r="D10" i="21"/>
  <c r="E10" i="21" s="1"/>
  <c r="D13" i="21"/>
  <c r="E13" i="21" s="1"/>
  <c r="D24" i="21"/>
  <c r="E24" i="21" s="1"/>
  <c r="D20" i="21"/>
  <c r="E20" i="21" s="1"/>
  <c r="D12" i="21"/>
  <c r="E12" i="21" s="1"/>
  <c r="D29" i="21"/>
  <c r="E29" i="21" s="1"/>
  <c r="D33" i="21"/>
  <c r="E33" i="21" s="1"/>
  <c r="H13" i="19" l="1"/>
  <c r="C7" i="18"/>
  <c r="H12" i="18" s="1"/>
  <c r="H10" i="2"/>
  <c r="C5" i="20" l="1"/>
  <c r="C35" i="20"/>
  <c r="C34" i="20"/>
  <c r="C33" i="20"/>
  <c r="C32" i="20"/>
  <c r="C31" i="20"/>
  <c r="C30" i="20"/>
  <c r="C29" i="20"/>
  <c r="C28" i="20"/>
  <c r="C27" i="20"/>
  <c r="C26" i="20"/>
  <c r="C25" i="20"/>
  <c r="C24" i="20"/>
  <c r="C23" i="20"/>
  <c r="C22" i="20"/>
  <c r="C21" i="20"/>
  <c r="C20" i="20"/>
  <c r="C19" i="20"/>
  <c r="C18" i="20"/>
  <c r="C17" i="20"/>
  <c r="C16" i="20"/>
  <c r="C15" i="20"/>
  <c r="C14" i="20"/>
  <c r="C13" i="20"/>
  <c r="C12" i="20"/>
  <c r="C11" i="20"/>
  <c r="C10" i="20"/>
  <c r="D13" i="19"/>
  <c r="D16" i="19"/>
  <c r="D17" i="19"/>
  <c r="D20" i="19"/>
  <c r="D21" i="19"/>
  <c r="D24" i="19"/>
  <c r="E24" i="19" s="1"/>
  <c r="D25" i="19"/>
  <c r="D28" i="19"/>
  <c r="D29" i="19"/>
  <c r="D32" i="19"/>
  <c r="D33" i="19"/>
  <c r="D36" i="19"/>
  <c r="D37" i="19"/>
  <c r="B43" i="19"/>
  <c r="C42" i="19"/>
  <c r="C43" i="19" s="1"/>
  <c r="B42" i="19"/>
  <c r="C37" i="19"/>
  <c r="C36" i="19"/>
  <c r="C35" i="19"/>
  <c r="D35" i="19" s="1"/>
  <c r="C34" i="19"/>
  <c r="D34" i="19" s="1"/>
  <c r="C33" i="19"/>
  <c r="C32" i="19"/>
  <c r="C31" i="19"/>
  <c r="D31" i="19" s="1"/>
  <c r="C30" i="19"/>
  <c r="D30" i="19" s="1"/>
  <c r="C29" i="19"/>
  <c r="C28" i="19"/>
  <c r="C27" i="19"/>
  <c r="D27" i="19" s="1"/>
  <c r="C26" i="19"/>
  <c r="D26" i="19" s="1"/>
  <c r="C25" i="19"/>
  <c r="C24" i="19"/>
  <c r="C23" i="19"/>
  <c r="D23" i="19" s="1"/>
  <c r="C22" i="19"/>
  <c r="D22" i="19" s="1"/>
  <c r="C21" i="19"/>
  <c r="C20" i="19"/>
  <c r="C19" i="19"/>
  <c r="D19" i="19" s="1"/>
  <c r="C18" i="19"/>
  <c r="D18" i="19" s="1"/>
  <c r="C17" i="19"/>
  <c r="C16" i="19"/>
  <c r="C15" i="19"/>
  <c r="D15" i="19" s="1"/>
  <c r="C14" i="19"/>
  <c r="D14" i="19" s="1"/>
  <c r="C13" i="19"/>
  <c r="C12" i="19"/>
  <c r="D12" i="19" s="1"/>
  <c r="C6" i="19"/>
  <c r="C42" i="18"/>
  <c r="C43" i="18" s="1"/>
  <c r="B43" i="18"/>
  <c r="B42" i="18"/>
  <c r="C37" i="18"/>
  <c r="D37" i="18" s="1"/>
  <c r="C36" i="18"/>
  <c r="D36" i="18" s="1"/>
  <c r="C35" i="18"/>
  <c r="D35" i="18" s="1"/>
  <c r="C34" i="18"/>
  <c r="D34" i="18" s="1"/>
  <c r="C33" i="18"/>
  <c r="D33" i="18" s="1"/>
  <c r="C32" i="18"/>
  <c r="D32" i="18" s="1"/>
  <c r="C31" i="18"/>
  <c r="D31" i="18" s="1"/>
  <c r="C30" i="18"/>
  <c r="D30" i="18" s="1"/>
  <c r="C29" i="18"/>
  <c r="D29" i="18" s="1"/>
  <c r="C28" i="18"/>
  <c r="C27" i="18"/>
  <c r="D27" i="18" s="1"/>
  <c r="C26" i="18"/>
  <c r="D26" i="18" s="1"/>
  <c r="C25" i="18"/>
  <c r="D25" i="18" s="1"/>
  <c r="C24" i="18"/>
  <c r="D24" i="18" s="1"/>
  <c r="C23" i="18"/>
  <c r="D23" i="18" s="1"/>
  <c r="C22" i="18"/>
  <c r="D22" i="18" s="1"/>
  <c r="C21" i="18"/>
  <c r="D21" i="18" s="1"/>
  <c r="C20" i="18"/>
  <c r="D20" i="18" s="1"/>
  <c r="C19" i="18"/>
  <c r="D19" i="18" s="1"/>
  <c r="C18" i="18"/>
  <c r="D18" i="18" s="1"/>
  <c r="C17" i="18"/>
  <c r="D17" i="18" s="1"/>
  <c r="C16" i="18"/>
  <c r="D16" i="18" s="1"/>
  <c r="C15" i="18"/>
  <c r="D15" i="18" s="1"/>
  <c r="C14" i="18"/>
  <c r="D14" i="18" s="1"/>
  <c r="C13" i="18"/>
  <c r="D13" i="18" s="1"/>
  <c r="C12" i="18"/>
  <c r="D12" i="18" s="1"/>
  <c r="C35" i="16"/>
  <c r="C34" i="16"/>
  <c r="C33" i="16"/>
  <c r="C32" i="16"/>
  <c r="C31" i="16"/>
  <c r="C30" i="16"/>
  <c r="C29" i="16"/>
  <c r="C28" i="16"/>
  <c r="C27" i="16"/>
  <c r="C26" i="16"/>
  <c r="C25" i="16"/>
  <c r="C24" i="16"/>
  <c r="C23" i="16"/>
  <c r="C22" i="16"/>
  <c r="C21" i="16"/>
  <c r="C20" i="16"/>
  <c r="C19" i="16"/>
  <c r="C18" i="16"/>
  <c r="C17" i="16"/>
  <c r="C16" i="16"/>
  <c r="C15" i="16"/>
  <c r="C14" i="16"/>
  <c r="C13" i="16"/>
  <c r="C12" i="16"/>
  <c r="C11" i="16"/>
  <c r="C10" i="16"/>
  <c r="C6" i="16"/>
  <c r="H10" i="16" s="1"/>
  <c r="C6" i="15"/>
  <c r="D32" i="15" s="1"/>
  <c r="E32" i="15" s="1"/>
  <c r="C5" i="14"/>
  <c r="C35" i="15"/>
  <c r="C34" i="15"/>
  <c r="C33" i="15"/>
  <c r="C32" i="15"/>
  <c r="C31" i="15"/>
  <c r="C30" i="15"/>
  <c r="C29" i="15"/>
  <c r="C28" i="15"/>
  <c r="C27" i="15"/>
  <c r="C26" i="15"/>
  <c r="C25" i="15"/>
  <c r="C24" i="15"/>
  <c r="C23" i="15"/>
  <c r="C22" i="15"/>
  <c r="C21" i="15"/>
  <c r="C20" i="15"/>
  <c r="C19" i="15"/>
  <c r="C18" i="15"/>
  <c r="C17" i="15"/>
  <c r="C16" i="15"/>
  <c r="C15" i="15"/>
  <c r="C14" i="15"/>
  <c r="C13" i="15"/>
  <c r="C12" i="15"/>
  <c r="C11" i="15"/>
  <c r="C10" i="15"/>
  <c r="C35" i="14"/>
  <c r="C34" i="14"/>
  <c r="C33" i="14"/>
  <c r="C32" i="14"/>
  <c r="C31" i="14"/>
  <c r="C30" i="14"/>
  <c r="C29" i="14"/>
  <c r="C28" i="14"/>
  <c r="C27" i="14"/>
  <c r="C26" i="14"/>
  <c r="C25" i="14"/>
  <c r="C24" i="14"/>
  <c r="C23" i="14"/>
  <c r="C22" i="14"/>
  <c r="C21" i="14"/>
  <c r="C20" i="14"/>
  <c r="C19" i="14"/>
  <c r="C18" i="14"/>
  <c r="C17" i="14"/>
  <c r="C16" i="14"/>
  <c r="C15" i="14"/>
  <c r="C14" i="14"/>
  <c r="C13" i="14"/>
  <c r="C12" i="14"/>
  <c r="C11" i="14"/>
  <c r="C10" i="14"/>
  <c r="C6" i="14"/>
  <c r="C11" i="13"/>
  <c r="C12" i="13"/>
  <c r="C13" i="13"/>
  <c r="C14" i="13"/>
  <c r="C15" i="13"/>
  <c r="C16" i="13"/>
  <c r="C17" i="13"/>
  <c r="C18" i="13"/>
  <c r="C19" i="13"/>
  <c r="C20" i="13"/>
  <c r="C21" i="13"/>
  <c r="C22" i="13"/>
  <c r="C23" i="13"/>
  <c r="C24" i="13"/>
  <c r="C25" i="13"/>
  <c r="C26" i="13"/>
  <c r="C27" i="13"/>
  <c r="C28" i="13"/>
  <c r="C29" i="13"/>
  <c r="C30" i="13"/>
  <c r="C31" i="13"/>
  <c r="C32" i="13"/>
  <c r="C33" i="13"/>
  <c r="C34" i="13"/>
  <c r="C35" i="13"/>
  <c r="C10" i="13"/>
  <c r="C5" i="13"/>
  <c r="C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H10" i="3"/>
  <c r="D11" i="3"/>
  <c r="E11" i="3" s="1"/>
  <c r="D12" i="3"/>
  <c r="E12" i="3" s="1"/>
  <c r="D13" i="3"/>
  <c r="E13" i="3" s="1"/>
  <c r="D14" i="3"/>
  <c r="E14" i="3" s="1"/>
  <c r="D15" i="3"/>
  <c r="E15" i="3" s="1"/>
  <c r="D16" i="3"/>
  <c r="E16" i="3" s="1"/>
  <c r="D17" i="3"/>
  <c r="E17" i="3" s="1"/>
  <c r="D18" i="3"/>
  <c r="E18" i="3" s="1"/>
  <c r="D19" i="3"/>
  <c r="E19" i="3" s="1"/>
  <c r="D20" i="3"/>
  <c r="E20" i="3" s="1"/>
  <c r="D21" i="3"/>
  <c r="E21" i="3" s="1"/>
  <c r="D22" i="3"/>
  <c r="E22" i="3" s="1"/>
  <c r="D23" i="3"/>
  <c r="E23" i="3" s="1"/>
  <c r="D24" i="3"/>
  <c r="E24" i="3" s="1"/>
  <c r="D25" i="3"/>
  <c r="E25" i="3" s="1"/>
  <c r="D26" i="3"/>
  <c r="E26" i="3" s="1"/>
  <c r="D27" i="3"/>
  <c r="D28" i="3"/>
  <c r="E28" i="3" s="1"/>
  <c r="D29" i="3"/>
  <c r="E29" i="3" s="1"/>
  <c r="D30" i="3"/>
  <c r="E30" i="3" s="1"/>
  <c r="D31" i="3"/>
  <c r="E31" i="3" s="1"/>
  <c r="D32" i="3"/>
  <c r="E32" i="3" s="1"/>
  <c r="D33" i="3"/>
  <c r="E33" i="3" s="1"/>
  <c r="D34" i="3"/>
  <c r="E34" i="3" s="1"/>
  <c r="D35" i="3"/>
  <c r="D10" i="3"/>
  <c r="E10" i="3" s="1"/>
  <c r="C11" i="3"/>
  <c r="C12" i="3"/>
  <c r="C13" i="3"/>
  <c r="C14" i="3"/>
  <c r="C15" i="3"/>
  <c r="C16" i="3"/>
  <c r="C17" i="3"/>
  <c r="C18" i="3"/>
  <c r="C19" i="3"/>
  <c r="C20" i="3"/>
  <c r="C21" i="3"/>
  <c r="C22" i="3"/>
  <c r="C23" i="3"/>
  <c r="C24" i="3"/>
  <c r="C25" i="3"/>
  <c r="C26" i="3"/>
  <c r="C27" i="3"/>
  <c r="C28" i="3"/>
  <c r="C29" i="3"/>
  <c r="C30" i="3"/>
  <c r="C31" i="3"/>
  <c r="C32" i="3"/>
  <c r="C33" i="3"/>
  <c r="C34" i="3"/>
  <c r="C35" i="3"/>
  <c r="C10" i="3"/>
  <c r="E27" i="3"/>
  <c r="E35" i="3"/>
  <c r="E16" i="19" l="1"/>
  <c r="D16" i="15"/>
  <c r="E16" i="15" s="1"/>
  <c r="D23" i="15"/>
  <c r="E23" i="15" s="1"/>
  <c r="D10" i="15"/>
  <c r="E10" i="15" s="1"/>
  <c r="D26" i="15"/>
  <c r="E26" i="15" s="1"/>
  <c r="D16" i="14"/>
  <c r="E16" i="14" s="1"/>
  <c r="H10" i="14"/>
  <c r="D28" i="14"/>
  <c r="E28" i="14" s="1"/>
  <c r="D12" i="14"/>
  <c r="E12" i="14" s="1"/>
  <c r="D11" i="15"/>
  <c r="E11" i="15" s="1"/>
  <c r="D14" i="15"/>
  <c r="E14" i="15" s="1"/>
  <c r="D20" i="15"/>
  <c r="E20" i="15" s="1"/>
  <c r="D27" i="15"/>
  <c r="E27" i="15" s="1"/>
  <c r="D30" i="15"/>
  <c r="E30" i="15" s="1"/>
  <c r="D34" i="15"/>
  <c r="E34" i="15" s="1"/>
  <c r="D15" i="15"/>
  <c r="E15" i="15" s="1"/>
  <c r="D18" i="15"/>
  <c r="E18" i="15" s="1"/>
  <c r="D24" i="15"/>
  <c r="E24" i="15" s="1"/>
  <c r="D31" i="15"/>
  <c r="E31" i="15" s="1"/>
  <c r="D33" i="15"/>
  <c r="E33" i="15" s="1"/>
  <c r="D12" i="15"/>
  <c r="E12" i="15" s="1"/>
  <c r="D19" i="15"/>
  <c r="E19" i="15" s="1"/>
  <c r="D22" i="15"/>
  <c r="E22" i="15" s="1"/>
  <c r="D28" i="15"/>
  <c r="E28" i="15" s="1"/>
  <c r="D24" i="14"/>
  <c r="E24" i="14" s="1"/>
  <c r="D10" i="14"/>
  <c r="E10" i="14" s="1"/>
  <c r="D20" i="14"/>
  <c r="E20" i="14" s="1"/>
  <c r="D32" i="14"/>
  <c r="E32" i="14" s="1"/>
  <c r="D28" i="18"/>
  <c r="E28" i="18" s="1"/>
  <c r="D34" i="20"/>
  <c r="E34" i="20" s="1"/>
  <c r="H10" i="20"/>
  <c r="D13" i="20"/>
  <c r="E13" i="20" s="1"/>
  <c r="D17" i="20"/>
  <c r="E17" i="20" s="1"/>
  <c r="D29" i="20"/>
  <c r="E29" i="20" s="1"/>
  <c r="D12" i="20"/>
  <c r="E12" i="20" s="1"/>
  <c r="D16" i="20"/>
  <c r="E16" i="20" s="1"/>
  <c r="D20" i="20"/>
  <c r="E20" i="20" s="1"/>
  <c r="D24" i="20"/>
  <c r="E24" i="20" s="1"/>
  <c r="D28" i="20"/>
  <c r="E28" i="20" s="1"/>
  <c r="D32" i="20"/>
  <c r="E32" i="20" s="1"/>
  <c r="D21" i="20"/>
  <c r="E21" i="20" s="1"/>
  <c r="D25" i="20"/>
  <c r="E25" i="20" s="1"/>
  <c r="D33" i="20"/>
  <c r="E33" i="20" s="1"/>
  <c r="D10" i="20"/>
  <c r="E10" i="20" s="1"/>
  <c r="D11" i="20"/>
  <c r="E11" i="20" s="1"/>
  <c r="D15" i="20"/>
  <c r="E15" i="20" s="1"/>
  <c r="D19" i="20"/>
  <c r="E19" i="20" s="1"/>
  <c r="D23" i="20"/>
  <c r="E23" i="20" s="1"/>
  <c r="D27" i="20"/>
  <c r="E27" i="20" s="1"/>
  <c r="D31" i="20"/>
  <c r="E31" i="20" s="1"/>
  <c r="D35" i="20"/>
  <c r="E35" i="20" s="1"/>
  <c r="D14" i="20"/>
  <c r="E14" i="20" s="1"/>
  <c r="D18" i="20"/>
  <c r="E18" i="20" s="1"/>
  <c r="D22" i="20"/>
  <c r="E22" i="20" s="1"/>
  <c r="D26" i="20"/>
  <c r="E26" i="20" s="1"/>
  <c r="D30" i="20"/>
  <c r="E30" i="20" s="1"/>
  <c r="E32" i="19"/>
  <c r="E37" i="19"/>
  <c r="E12" i="19"/>
  <c r="E20" i="19"/>
  <c r="E28" i="19"/>
  <c r="E36" i="19"/>
  <c r="E14" i="19"/>
  <c r="E22" i="19"/>
  <c r="E30" i="19"/>
  <c r="E13" i="19"/>
  <c r="E18" i="19"/>
  <c r="E26" i="19"/>
  <c r="E34" i="19"/>
  <c r="E15" i="19"/>
  <c r="E19" i="19"/>
  <c r="E23" i="19"/>
  <c r="E27" i="19"/>
  <c r="E31" i="19"/>
  <c r="E35" i="19"/>
  <c r="E17" i="19"/>
  <c r="E21" i="19"/>
  <c r="E25" i="19"/>
  <c r="E29" i="19"/>
  <c r="E33" i="19"/>
  <c r="E36" i="18"/>
  <c r="E27" i="18"/>
  <c r="E35" i="18"/>
  <c r="E22" i="18"/>
  <c r="E12" i="18"/>
  <c r="E13" i="18"/>
  <c r="E17" i="18"/>
  <c r="E21" i="18"/>
  <c r="E25" i="18"/>
  <c r="E29" i="18"/>
  <c r="E33" i="18"/>
  <c r="E37" i="18"/>
  <c r="E15" i="18"/>
  <c r="E19" i="18"/>
  <c r="E23" i="18"/>
  <c r="E31" i="18"/>
  <c r="E14" i="18"/>
  <c r="E18" i="18"/>
  <c r="E26" i="18"/>
  <c r="E30" i="18"/>
  <c r="E34" i="18"/>
  <c r="E16" i="18"/>
  <c r="E20" i="18"/>
  <c r="E24" i="18"/>
  <c r="E32" i="18"/>
  <c r="C5" i="16"/>
  <c r="E33" i="16"/>
  <c r="E29" i="16"/>
  <c r="E25" i="16"/>
  <c r="E21" i="16"/>
  <c r="E17" i="16"/>
  <c r="E13" i="16"/>
  <c r="E10" i="16"/>
  <c r="E32" i="16"/>
  <c r="E28" i="16"/>
  <c r="E24" i="16"/>
  <c r="E20" i="16"/>
  <c r="E16" i="16"/>
  <c r="E12" i="16"/>
  <c r="E35" i="16"/>
  <c r="E31" i="16"/>
  <c r="E27" i="16"/>
  <c r="E23" i="16"/>
  <c r="E19" i="16"/>
  <c r="E15" i="16"/>
  <c r="E11" i="16"/>
  <c r="E34" i="16"/>
  <c r="E30" i="16"/>
  <c r="E26" i="16"/>
  <c r="E22" i="16"/>
  <c r="E18" i="16"/>
  <c r="E14" i="16"/>
  <c r="D35" i="15"/>
  <c r="E35" i="15" s="1"/>
  <c r="D35" i="14"/>
  <c r="E35" i="14" s="1"/>
  <c r="D31" i="14"/>
  <c r="E31" i="14" s="1"/>
  <c r="D27" i="14"/>
  <c r="E27" i="14" s="1"/>
  <c r="D23" i="14"/>
  <c r="E23" i="14" s="1"/>
  <c r="D19" i="14"/>
  <c r="E19" i="14" s="1"/>
  <c r="D15" i="14"/>
  <c r="E15" i="14" s="1"/>
  <c r="D11" i="14"/>
  <c r="E11" i="14" s="1"/>
  <c r="D30" i="14"/>
  <c r="E30" i="14" s="1"/>
  <c r="D14" i="14"/>
  <c r="E14" i="14" s="1"/>
  <c r="D34" i="14"/>
  <c r="E34" i="14" s="1"/>
  <c r="D26" i="14"/>
  <c r="E26" i="14" s="1"/>
  <c r="D22" i="14"/>
  <c r="E22" i="14" s="1"/>
  <c r="D18" i="14"/>
  <c r="E18" i="14" s="1"/>
  <c r="D33" i="14"/>
  <c r="E33" i="14" s="1"/>
  <c r="D29" i="14"/>
  <c r="E29" i="14" s="1"/>
  <c r="D25" i="14"/>
  <c r="E25" i="14" s="1"/>
  <c r="D21" i="14"/>
  <c r="E21" i="14" s="1"/>
  <c r="D17" i="14"/>
  <c r="E17" i="14" s="1"/>
  <c r="D13" i="14"/>
  <c r="E13" i="14" s="1"/>
  <c r="H10" i="15"/>
  <c r="D13" i="15"/>
  <c r="E13" i="15" s="1"/>
  <c r="D17" i="15"/>
  <c r="E17" i="15" s="1"/>
  <c r="D21" i="15"/>
  <c r="E21" i="15" s="1"/>
  <c r="D25" i="15"/>
  <c r="E25" i="15" s="1"/>
  <c r="D29" i="15"/>
  <c r="E29" i="15" s="1"/>
  <c r="D34" i="13"/>
  <c r="E34" i="13" s="1"/>
  <c r="H10" i="13"/>
  <c r="D13" i="13"/>
  <c r="E13" i="13" s="1"/>
  <c r="D17" i="13"/>
  <c r="E17" i="13" s="1"/>
  <c r="D21" i="13"/>
  <c r="E21" i="13" s="1"/>
  <c r="D25" i="13"/>
  <c r="E25" i="13" s="1"/>
  <c r="D29" i="13"/>
  <c r="E29" i="13" s="1"/>
  <c r="D33" i="13"/>
  <c r="E33" i="13" s="1"/>
  <c r="D12" i="13"/>
  <c r="E12" i="13" s="1"/>
  <c r="D16" i="13"/>
  <c r="E16" i="13" s="1"/>
  <c r="D20" i="13"/>
  <c r="E20" i="13" s="1"/>
  <c r="D24" i="13"/>
  <c r="E24" i="13" s="1"/>
  <c r="D28" i="13"/>
  <c r="E28" i="13" s="1"/>
  <c r="D32" i="13"/>
  <c r="E32" i="13" s="1"/>
  <c r="D10" i="13"/>
  <c r="E10" i="13" s="1"/>
  <c r="D11" i="13"/>
  <c r="E11" i="13" s="1"/>
  <c r="D15" i="13"/>
  <c r="E15" i="13" s="1"/>
  <c r="D19" i="13"/>
  <c r="E19" i="13" s="1"/>
  <c r="D23" i="13"/>
  <c r="E23" i="13" s="1"/>
  <c r="D27" i="13"/>
  <c r="E27" i="13" s="1"/>
  <c r="D31" i="13"/>
  <c r="E31" i="13" s="1"/>
  <c r="D35" i="13"/>
  <c r="E35" i="13" s="1"/>
  <c r="D14" i="13"/>
  <c r="E14" i="13" s="1"/>
  <c r="D18" i="13"/>
  <c r="E18" i="13" s="1"/>
  <c r="D22" i="13"/>
  <c r="E22" i="13" s="1"/>
  <c r="D26" i="13"/>
  <c r="E26" i="13" s="1"/>
  <c r="D30" i="13"/>
  <c r="E30" i="13" s="1"/>
  <c r="D11" i="12"/>
  <c r="E11" i="12" s="1"/>
  <c r="D18" i="12"/>
  <c r="E18" i="12" s="1"/>
  <c r="H10" i="12"/>
  <c r="D34" i="12"/>
  <c r="E34" i="12" s="1"/>
  <c r="D26" i="12"/>
  <c r="E26" i="12" s="1"/>
  <c r="D32" i="12"/>
  <c r="E32" i="12" s="1"/>
  <c r="D24" i="12"/>
  <c r="E24" i="12" s="1"/>
  <c r="D16" i="12"/>
  <c r="E16" i="12" s="1"/>
  <c r="D30" i="12"/>
  <c r="E30" i="12" s="1"/>
  <c r="D22" i="12"/>
  <c r="E22" i="12" s="1"/>
  <c r="D14" i="12"/>
  <c r="E14" i="12" s="1"/>
  <c r="D10" i="12"/>
  <c r="E10" i="12" s="1"/>
  <c r="D28" i="12"/>
  <c r="E28" i="12" s="1"/>
  <c r="D20" i="12"/>
  <c r="E20" i="12" s="1"/>
  <c r="D12" i="12"/>
  <c r="E12" i="12" s="1"/>
  <c r="D33" i="12"/>
  <c r="E33" i="12" s="1"/>
  <c r="D29" i="12"/>
  <c r="E29" i="12" s="1"/>
  <c r="D25" i="12"/>
  <c r="E25" i="12" s="1"/>
  <c r="D21" i="12"/>
  <c r="E21" i="12" s="1"/>
  <c r="D17" i="12"/>
  <c r="E17" i="12" s="1"/>
  <c r="D13" i="12"/>
  <c r="E13" i="12" s="1"/>
  <c r="D35" i="12"/>
  <c r="E35" i="12" s="1"/>
  <c r="D31" i="12"/>
  <c r="E31" i="12" s="1"/>
  <c r="D27" i="12"/>
  <c r="E27" i="12" s="1"/>
  <c r="D23" i="12"/>
  <c r="E23" i="12" s="1"/>
  <c r="D19" i="12"/>
  <c r="E19" i="12" s="1"/>
  <c r="D15" i="12"/>
  <c r="E15" i="12" s="1"/>
  <c r="C12" i="11" l="1"/>
  <c r="C20" i="11"/>
  <c r="C28" i="11"/>
  <c r="C36" i="11"/>
  <c r="C35" i="11"/>
  <c r="C13" i="11"/>
  <c r="C21" i="11"/>
  <c r="C29" i="11"/>
  <c r="C11" i="11"/>
  <c r="D11" i="11" s="1"/>
  <c r="C23" i="11"/>
  <c r="D23" i="11" s="1"/>
  <c r="E23" i="11" s="1"/>
  <c r="C31" i="11"/>
  <c r="C34" i="11"/>
  <c r="C19" i="11"/>
  <c r="C14" i="11"/>
  <c r="C22" i="11"/>
  <c r="C30" i="11"/>
  <c r="C15" i="11"/>
  <c r="C26" i="11"/>
  <c r="C27" i="11"/>
  <c r="C16" i="11"/>
  <c r="C24" i="11"/>
  <c r="C32" i="11"/>
  <c r="C17" i="11"/>
  <c r="C25" i="11"/>
  <c r="C33" i="11"/>
  <c r="C18" i="11"/>
  <c r="C4" i="11"/>
  <c r="B12" i="2"/>
  <c r="B13" i="2" s="1"/>
  <c r="B14" i="2" s="1"/>
  <c r="B15" i="2" s="1"/>
  <c r="B16" i="2" s="1"/>
  <c r="B17" i="2" s="1"/>
  <c r="B18" i="2" s="1"/>
  <c r="B19" i="2" s="1"/>
  <c r="B20" i="2" s="1"/>
  <c r="B21" i="2" s="1"/>
  <c r="B22" i="2" s="1"/>
  <c r="B23" i="2" s="1"/>
  <c r="B24" i="2" s="1"/>
  <c r="B25" i="2" s="1"/>
  <c r="B26" i="2" s="1"/>
  <c r="B27" i="2" s="1"/>
  <c r="B28" i="2" s="1"/>
  <c r="B29" i="2" s="1"/>
  <c r="B30" i="2" s="1"/>
  <c r="B31" i="2" s="1"/>
  <c r="B32" i="2" s="1"/>
  <c r="B33" i="2" s="1"/>
  <c r="B34" i="2" s="1"/>
  <c r="B35" i="2" s="1"/>
  <c r="B36" i="2" s="1"/>
  <c r="B37" i="2" s="1"/>
  <c r="B38" i="2" s="1"/>
  <c r="B39" i="2" s="1"/>
  <c r="B40" i="2" s="1"/>
  <c r="B41" i="2" s="1"/>
  <c r="B42" i="2" s="1"/>
  <c r="B43" i="2" s="1"/>
  <c r="B44" i="2" s="1"/>
  <c r="B45" i="2" s="1"/>
  <c r="B46" i="2" s="1"/>
  <c r="B47" i="2" s="1"/>
  <c r="B48" i="2" s="1"/>
  <c r="E12" i="2"/>
  <c r="E13" i="2"/>
  <c r="E14" i="2"/>
  <c r="E15" i="2"/>
  <c r="E16" i="2"/>
  <c r="E17" i="2"/>
  <c r="E18" i="2"/>
  <c r="E19" i="2"/>
  <c r="E20" i="2"/>
  <c r="E21" i="2"/>
  <c r="E22" i="2"/>
  <c r="E23" i="2"/>
  <c r="E24" i="2"/>
  <c r="E25" i="2"/>
  <c r="E26" i="2"/>
  <c r="E27" i="2"/>
  <c r="E28" i="2"/>
  <c r="E29" i="2"/>
  <c r="E30" i="2"/>
  <c r="E31" i="2"/>
  <c r="E32" i="2"/>
  <c r="E33" i="2"/>
  <c r="E34" i="2"/>
  <c r="E35" i="2"/>
  <c r="E36" i="2"/>
  <c r="E37" i="2"/>
  <c r="E38" i="2"/>
  <c r="E39" i="2"/>
  <c r="E40" i="2"/>
  <c r="E41" i="2"/>
  <c r="E42" i="2"/>
  <c r="E43" i="2"/>
  <c r="E44" i="2"/>
  <c r="E45" i="2"/>
  <c r="E46" i="2"/>
  <c r="E47" i="2"/>
  <c r="E48" i="2"/>
  <c r="E11" i="2"/>
  <c r="D11" i="1"/>
  <c r="D25" i="11" l="1"/>
  <c r="E25" i="11" s="1"/>
  <c r="D26" i="11"/>
  <c r="E26" i="11" s="1"/>
  <c r="D33" i="11"/>
  <c r="E33" i="11" s="1"/>
  <c r="D13" i="11"/>
  <c r="E13" i="11" s="1"/>
  <c r="D32" i="11"/>
  <c r="E32" i="11" s="1"/>
  <c r="D20" i="11"/>
  <c r="E20" i="11" s="1"/>
  <c r="D16" i="11"/>
  <c r="E16" i="11" s="1"/>
  <c r="H33" i="11"/>
  <c r="J33" i="11" s="1"/>
  <c r="H12" i="11"/>
  <c r="D31" i="11"/>
  <c r="E31" i="11" s="1"/>
  <c r="D22" i="11"/>
  <c r="E22" i="11" s="1"/>
  <c r="D34" i="11"/>
  <c r="E34" i="11" s="1"/>
  <c r="D18" i="11"/>
  <c r="E18" i="11" s="1"/>
  <c r="D21" i="11"/>
  <c r="E21" i="11" s="1"/>
  <c r="D28" i="11"/>
  <c r="E28" i="11" s="1"/>
  <c r="D12" i="11"/>
  <c r="E12" i="11" s="1"/>
  <c r="D29" i="11"/>
  <c r="E29" i="11" s="1"/>
  <c r="D30" i="11"/>
  <c r="E30" i="11" s="1"/>
  <c r="D14" i="11"/>
  <c r="E14" i="11" s="1"/>
  <c r="D27" i="11"/>
  <c r="E27" i="11" s="1"/>
  <c r="E11" i="11"/>
  <c r="D35" i="11"/>
  <c r="E35" i="11" s="1"/>
  <c r="D19" i="11"/>
  <c r="E19" i="11" s="1"/>
  <c r="D17" i="11"/>
  <c r="E17" i="11" s="1"/>
  <c r="D15" i="11"/>
  <c r="E15" i="11" s="1"/>
  <c r="D24" i="11"/>
  <c r="E24" i="11" s="1"/>
  <c r="C3" i="11"/>
  <c r="D36" i="11"/>
  <c r="E36" i="11" s="1"/>
  <c r="C11" i="2" l="1"/>
  <c r="D11" i="2" s="1"/>
  <c r="C12" i="2" l="1"/>
  <c r="D12" i="2" s="1"/>
  <c r="C13" i="2"/>
  <c r="D13" i="2" s="1"/>
  <c r="C14" i="2" l="1"/>
  <c r="D14" i="2" s="1"/>
  <c r="C35" i="2"/>
  <c r="D35" i="2" s="1"/>
  <c r="C15" i="2"/>
  <c r="D15" i="2" s="1"/>
  <c r="C36" i="2" l="1"/>
  <c r="D36" i="2" s="1"/>
  <c r="C16" i="2"/>
  <c r="D16" i="2" s="1"/>
  <c r="C37" i="2" l="1"/>
  <c r="D37" i="2" s="1"/>
  <c r="C17" i="2"/>
  <c r="D17" i="2" s="1"/>
  <c r="C38" i="2" l="1"/>
  <c r="D38" i="2" s="1"/>
  <c r="C18" i="2"/>
  <c r="D18" i="2" s="1"/>
  <c r="C39" i="2" l="1"/>
  <c r="D39" i="2" s="1"/>
  <c r="C19" i="2"/>
  <c r="D19" i="2" s="1"/>
  <c r="C40" i="2" l="1"/>
  <c r="D40" i="2" s="1"/>
  <c r="C20" i="2"/>
  <c r="D20" i="2" s="1"/>
  <c r="C41" i="2" l="1"/>
  <c r="D41" i="2" s="1"/>
  <c r="C21" i="2"/>
  <c r="D21" i="2" s="1"/>
  <c r="C42" i="2" l="1"/>
  <c r="D42" i="2" s="1"/>
  <c r="C22" i="2"/>
  <c r="D22" i="2" s="1"/>
  <c r="C43" i="2" l="1"/>
  <c r="D43" i="2" s="1"/>
  <c r="C23" i="2"/>
  <c r="D23" i="2" s="1"/>
  <c r="C44" i="2" l="1"/>
  <c r="D44" i="2" s="1"/>
  <c r="C24" i="2"/>
  <c r="D24" i="2" s="1"/>
  <c r="C45" i="2" l="1"/>
  <c r="D45" i="2" s="1"/>
  <c r="C25" i="2"/>
  <c r="D25" i="2" s="1"/>
  <c r="C46" i="2" l="1"/>
  <c r="D46" i="2" s="1"/>
  <c r="C26" i="2"/>
  <c r="D26" i="2" s="1"/>
  <c r="C47" i="2" l="1"/>
  <c r="D47" i="2" s="1"/>
  <c r="C48" i="2"/>
  <c r="D48" i="2" s="1"/>
  <c r="C27" i="2"/>
  <c r="D27" i="2" s="1"/>
  <c r="C28" i="2" l="1"/>
  <c r="D28" i="2" s="1"/>
  <c r="C29" i="2" l="1"/>
  <c r="D29" i="2" s="1"/>
  <c r="C30" i="2" l="1"/>
  <c r="D30" i="2" s="1"/>
  <c r="C31" i="2" l="1"/>
  <c r="D31" i="2" s="1"/>
  <c r="C32" i="2" l="1"/>
  <c r="D32" i="2" s="1"/>
  <c r="C33" i="2" l="1"/>
  <c r="D33" i="2" s="1"/>
  <c r="C34" i="2" l="1"/>
  <c r="D34" i="2" s="1"/>
  <c r="D14" i="1"/>
  <c r="D18" i="1"/>
  <c r="D22" i="1"/>
  <c r="D26" i="1"/>
  <c r="D30" i="1"/>
  <c r="D32" i="1"/>
  <c r="D12" i="1"/>
  <c r="D16" i="1"/>
  <c r="D20" i="1"/>
  <c r="D24" i="1"/>
  <c r="D28" i="1"/>
  <c r="D34" i="1"/>
  <c r="D13" i="1"/>
  <c r="D15" i="1"/>
  <c r="D17" i="1"/>
  <c r="D19" i="1"/>
  <c r="D21" i="1"/>
  <c r="D23" i="1"/>
  <c r="D25" i="1"/>
  <c r="D27" i="1"/>
  <c r="D29" i="1"/>
  <c r="D31" i="1"/>
  <c r="D33" i="1"/>
  <c r="D35" i="1"/>
  <c r="D36" i="1"/>
</calcChain>
</file>

<file path=xl/sharedStrings.xml><?xml version="1.0" encoding="utf-8"?>
<sst xmlns="http://schemas.openxmlformats.org/spreadsheetml/2006/main" count="1946" uniqueCount="296">
  <si>
    <t>Shift</t>
  </si>
  <si>
    <t>Gain</t>
  </si>
  <si>
    <t>Vin</t>
  </si>
  <si>
    <t>Vout</t>
  </si>
  <si>
    <t>Vmax</t>
  </si>
  <si>
    <t>delta</t>
  </si>
  <si>
    <t>t</t>
  </si>
  <si>
    <t>Vin(+)</t>
  </si>
  <si>
    <t>Vin(-)</t>
  </si>
  <si>
    <t>V+</t>
  </si>
  <si>
    <t>V-</t>
  </si>
  <si>
    <t>Vb</t>
  </si>
  <si>
    <t>R1</t>
  </si>
  <si>
    <t>R2</t>
  </si>
  <si>
    <t>R3</t>
  </si>
  <si>
    <t>Rf</t>
  </si>
  <si>
    <t>K</t>
  </si>
  <si>
    <t>V</t>
  </si>
  <si>
    <t>V (positive rail power)</t>
  </si>
  <si>
    <t>V (negative rail power)</t>
  </si>
  <si>
    <t>V (voltage on inverting input)</t>
  </si>
  <si>
    <t>V (maximum voltage of sin curve)</t>
  </si>
  <si>
    <t>time offset for amp response</t>
  </si>
  <si>
    <t>Time offset for amp response</t>
  </si>
  <si>
    <t>Vin,min</t>
  </si>
  <si>
    <t>Vin,max</t>
  </si>
  <si>
    <t>Vout,min</t>
  </si>
  <si>
    <t>Vout,max</t>
  </si>
  <si>
    <t>Av</t>
  </si>
  <si>
    <t>Vin:</t>
  </si>
  <si>
    <t>Headroom:</t>
  </si>
  <si>
    <t>Headroom</t>
  </si>
  <si>
    <t>V (=0V for rail-to-rail)</t>
  </si>
  <si>
    <t>Single Test Value:</t>
  </si>
  <si>
    <t>Vout:</t>
  </si>
  <si>
    <t>Buffer</t>
  </si>
  <si>
    <t>Op-Amp Characteristics</t>
  </si>
  <si>
    <t>A buffer has a gain of 1 and a shift of 0V.</t>
  </si>
  <si>
    <t>(max V of signal)</t>
  </si>
  <si>
    <t>X</t>
  </si>
  <si>
    <t>Comparator</t>
  </si>
  <si>
    <t>Inverting Amplifier</t>
  </si>
  <si>
    <t>An inverting amplifier has gain&lt;0, and a shift of 0V.</t>
  </si>
  <si>
    <t>Inverting Amplifier - Warning!</t>
  </si>
  <si>
    <t>Inverting + Bias Amplifier</t>
  </si>
  <si>
    <t>Non-Inverting Amplifier</t>
  </si>
  <si>
    <t>Non-Inverting + Bias Amplifier</t>
  </si>
  <si>
    <t>Differential Amplifier</t>
  </si>
  <si>
    <t>Vin,2</t>
  </si>
  <si>
    <t>For Graphing Vin,2:</t>
  </si>
  <si>
    <t>Vin,1</t>
  </si>
  <si>
    <t>Vin,1 max</t>
  </si>
  <si>
    <t>(max of Vin,1 signal)</t>
  </si>
  <si>
    <t>Summing Inverting Amplifier</t>
  </si>
  <si>
    <t>Summing Non-Inverting Amplifier</t>
  </si>
  <si>
    <t>Vin(+):</t>
  </si>
  <si>
    <t>Vin(-):</t>
  </si>
  <si>
    <t>Single Test Values:</t>
  </si>
  <si>
    <t>V1:</t>
  </si>
  <si>
    <t>V2:</t>
  </si>
  <si>
    <t>Signal Generator</t>
  </si>
  <si>
    <t>With the shift and gain you want!</t>
  </si>
  <si>
    <t>V1max</t>
  </si>
  <si>
    <t>Signal Characteristics</t>
  </si>
  <si>
    <t>V+:</t>
  </si>
  <si>
    <t>Single Test Values: Amp Configuration Summary:</t>
  </si>
  <si>
    <t>V-:</t>
  </si>
  <si>
    <t>R1:</t>
  </si>
  <si>
    <t>RF:</t>
  </si>
  <si>
    <t>Vb:</t>
  </si>
  <si>
    <t>Vin,1:</t>
  </si>
  <si>
    <t>Vin,2:</t>
  </si>
  <si>
    <t>R2:</t>
  </si>
  <si>
    <t>R3:</t>
  </si>
  <si>
    <t>Vout@Vin,min</t>
  </si>
  <si>
    <t>Vout@Vin,max</t>
  </si>
  <si>
    <t>A non-inverting amplifier has gain&gt;0, and a shift of 0V.</t>
  </si>
  <si>
    <t>V3:</t>
  </si>
  <si>
    <t>Vin,3</t>
  </si>
  <si>
    <t>For Graphing Vin,2 and Vin,3:</t>
  </si>
  <si>
    <t>Hz</t>
  </si>
  <si>
    <t>fc</t>
  </si>
  <si>
    <t>C1</t>
  </si>
  <si>
    <t>uF</t>
  </si>
  <si>
    <t>f,signal</t>
  </si>
  <si>
    <t>t (sec)</t>
  </si>
  <si>
    <t>sec</t>
  </si>
  <si>
    <t>period,sig</t>
  </si>
  <si>
    <t>dt</t>
  </si>
  <si>
    <t># Periods</t>
  </si>
  <si>
    <t>(to display)</t>
  </si>
  <si>
    <t>Inverting Amplifier - Low Pass Filter</t>
  </si>
  <si>
    <t>Bode Plot:</t>
  </si>
  <si>
    <t>Frequency (Hz)</t>
  </si>
  <si>
    <t>Gain,dB</t>
  </si>
  <si>
    <t>Theoretical (headroom not considered)</t>
  </si>
  <si>
    <t>Unity Gain - Low Pass Filter</t>
  </si>
  <si>
    <t>Xc</t>
  </si>
  <si>
    <t>Unity Gain - High Pass Filter</t>
  </si>
  <si>
    <t>RF</t>
  </si>
  <si>
    <t>C1:</t>
  </si>
  <si>
    <t>f,signal:</t>
  </si>
  <si>
    <t>Inverting + Bias Amplifier - Low Pass Filter</t>
  </si>
  <si>
    <t>Time Constant:</t>
  </si>
  <si>
    <r>
      <rPr>
        <sz val="11"/>
        <color theme="1"/>
        <rFont val="Symbol"/>
        <family val="1"/>
        <charset val="2"/>
      </rPr>
      <t xml:space="preserve"> t</t>
    </r>
    <r>
      <rPr>
        <sz val="10.55"/>
        <color theme="1"/>
        <rFont val="Calibri"/>
        <family val="2"/>
      </rPr>
      <t>:</t>
    </r>
  </si>
  <si>
    <t>msec</t>
  </si>
  <si>
    <t>Vin (or V1)</t>
  </si>
  <si>
    <t>Vb (or V2)</t>
  </si>
  <si>
    <t>Op-Amp</t>
  </si>
  <si>
    <t>LM6132</t>
  </si>
  <si>
    <t>Description</t>
  </si>
  <si>
    <t>LM6132/LM6134 Dual and Quad Low Power 10 MHz Rail-to-Rail I/O Operational Amplifiers</t>
  </si>
  <si>
    <t>10 MHz @ 20kHz</t>
  </si>
  <si>
    <t>Supply Range</t>
  </si>
  <si>
    <t>100 dB (Rl=10K)</t>
  </si>
  <si>
    <t>5V supply, rail-to-rail</t>
  </si>
  <si>
    <t>Pinout</t>
  </si>
  <si>
    <t>Output Swing (Vcc=5V)</t>
  </si>
  <si>
    <t>0.007-4.992V (100K load)</t>
  </si>
  <si>
    <t>LM358P</t>
  </si>
  <si>
    <t>100 dB</t>
  </si>
  <si>
    <t>3-32V or dual supply ±1.5 - ±16V</t>
  </si>
  <si>
    <t>1 MHz unity gain</t>
  </si>
  <si>
    <t>Bandwidth (Unity Gain)</t>
  </si>
  <si>
    <t>40 mA</t>
  </si>
  <si>
    <t>Isc (Short-Circuit Current)</t>
  </si>
  <si>
    <t>5mv - ~3.3V</t>
  </si>
  <si>
    <t>LMx58-N Low-Power, Dual-Operational Amplifiers</t>
  </si>
  <si>
    <t>Direct sensing near GND, Vout goes to GND, low battery drain. Transducer amplifiers, dc gain blocks and all the conventional op-amp circuits (good for single supply)</t>
  </si>
  <si>
    <t>TL072</t>
  </si>
  <si>
    <t>TL07xx Low-Noise JFET-Input Operational Amplifiers</t>
  </si>
  <si>
    <t>Slew Rate</t>
  </si>
  <si>
    <t>13 V/µs</t>
  </si>
  <si>
    <t>Features/Applications</t>
  </si>
  <si>
    <t>Solar inverters, AC inverter, VF drives, pro audio mixers, DLP front projection system, oscilloscopes</t>
  </si>
  <si>
    <t>TL074</t>
  </si>
  <si>
    <t>TL071</t>
  </si>
  <si>
    <t>4 mA</t>
  </si>
  <si>
    <t>14 V/µs</t>
  </si>
  <si>
    <t>3 MHz</t>
  </si>
  <si>
    <t>(-5-15V) to (+5 to +15V)</t>
  </si>
  <si>
    <t>1.2 - 3.3V when V-=GND, V+=5V</t>
  </si>
  <si>
    <t>LMx24-N, LM2902-N Low-Power, Quad-Operational Amplifiers</t>
  </si>
  <si>
    <t>LM324</t>
  </si>
  <si>
    <t>1 MHz</t>
  </si>
  <si>
    <t>0V to Vcc+ - 1.5V</t>
  </si>
  <si>
    <t>No need for dual supplies. Can swing to ground on single supply. Transducer amplifiers, DC gain blocks, conventional op amp circuits.</t>
  </si>
  <si>
    <t>AD623AN</t>
  </si>
  <si>
    <t>Single and Dual-Supply, Rail-to-Rail,
Low Cost Instrumentation Amplifier</t>
  </si>
  <si>
    <t>1-1000X</t>
  </si>
  <si>
    <t>800 kHz</t>
  </si>
  <si>
    <t>0.01 V to Vs-0.15V (RL = 100 kOhm)</t>
  </si>
  <si>
    <t>Max 12V (±6V)</t>
  </si>
  <si>
    <t>Rail-to-rail output swing. Low power medical instrumentation, transducer interfaces, thermocouple amplifiers, industrial process controls, difference amplifiers, low power data acquisition. Gain settable with one resistor (table in datasheet)</t>
  </si>
  <si>
    <t>0.3 V/µs</t>
  </si>
  <si>
    <t>TLV2772</t>
  </si>
  <si>
    <t>2.7V High-Slew-Rate Rail-to-Rail Output Operational Amplifier with Shutdown</t>
  </si>
  <si>
    <t>10.5 V/µs</t>
  </si>
  <si>
    <t>5.1 MHz</t>
  </si>
  <si>
    <t>Rail-to-rail output, high bandwidth, 1 mA supply currrrent per channel. Good for driving analog input or reference of analog to digital converters.</t>
  </si>
  <si>
    <t>2.5 to 5.5V single supply.</t>
  </si>
  <si>
    <t>TLV2774</t>
  </si>
  <si>
    <t xml:space="preserve">Rail-to-rail output, high bandwidth, 1 mA supply currrrent per channel. Good for driving analog input or reference of analog to digital converters. High slew rate and bandwidth. </t>
  </si>
  <si>
    <t>Rail-to-Rail</t>
  </si>
  <si>
    <t>Single: (3-32V), or Dual (±1.5 to ±16V)</t>
  </si>
  <si>
    <t>+2.7 to 24V
V+ to V-: max 35V</t>
  </si>
  <si>
    <t>Non-Inverting Amplifier: Resistive Sensor</t>
  </si>
  <si>
    <t>Rp_low</t>
  </si>
  <si>
    <t>Rp_high</t>
  </si>
  <si>
    <t>Rs</t>
  </si>
  <si>
    <t>Rb</t>
  </si>
  <si>
    <t>Vs</t>
  </si>
  <si>
    <t>Vpre,max</t>
  </si>
  <si>
    <t>Vpre,min</t>
  </si>
  <si>
    <t>R</t>
  </si>
  <si>
    <t>Range of Probe Resistance (high to low):</t>
  </si>
  <si>
    <t># Op-Amps</t>
  </si>
  <si>
    <t>±26 mA</t>
  </si>
  <si>
    <t>&lt;10 mA</t>
  </si>
  <si>
    <t>TDA2030A</t>
  </si>
  <si>
    <t>±22V</t>
  </si>
  <si>
    <t>3.5A</t>
  </si>
  <si>
    <t>8 V/µs</t>
  </si>
  <si>
    <t>100 kHz</t>
  </si>
  <si>
    <t>20 dB</t>
  </si>
  <si>
    <t>Typical amplifier with split power supply, 3-way 60W Active Loudspeaker Sytem (Vs=36V), high power active box for musical instrument, instrument amplifier, bridge amplifier with split power supply</t>
  </si>
  <si>
    <t>Not listed (can be measured)</t>
  </si>
  <si>
    <t>LM741</t>
  </si>
  <si>
    <t>General-purpose operational amplifiers with nearly foolproof features: overload protection on input &amp; output, no latch-up when common-mode range is exceeted, and freedom from oscillations</t>
  </si>
  <si>
    <t>1.5 MHz</t>
  </si>
  <si>
    <t>±15V</t>
  </si>
  <si>
    <t>25 mA</t>
  </si>
  <si>
    <t>0.5 V/µs</t>
  </si>
  <si>
    <t xml:space="preserve">The LM74 devices are general-purpose operational amplifiers . It is intended for a wide range of analog applications. The high gain and wide range of operating voltage provide superior performance in integrator, summing amplifier, and general feedback applications. The LM741 can operate with a single or dual power supply voltage. </t>
  </si>
  <si>
    <r>
      <t>When Vs=±20V:
R</t>
    </r>
    <r>
      <rPr>
        <vertAlign val="subscript"/>
        <sz val="11"/>
        <color theme="1"/>
        <rFont val="Calibri"/>
        <family val="2"/>
        <scheme val="minor"/>
      </rPr>
      <t>L</t>
    </r>
    <r>
      <rPr>
        <sz val="11"/>
        <color theme="1"/>
        <rFont val="Calibri"/>
        <family val="2"/>
        <scheme val="minor"/>
      </rPr>
      <t>&gt;=10K: min ±16V
R</t>
    </r>
    <r>
      <rPr>
        <vertAlign val="subscript"/>
        <sz val="11"/>
        <color theme="1"/>
        <rFont val="Calibri"/>
        <family val="2"/>
        <scheme val="minor"/>
      </rPr>
      <t>L</t>
    </r>
    <r>
      <rPr>
        <sz val="11"/>
        <color theme="1"/>
        <rFont val="Calibri"/>
        <family val="2"/>
        <scheme val="minor"/>
      </rPr>
      <t>&gt;=2K: min ±15V</t>
    </r>
  </si>
  <si>
    <r>
      <rPr>
        <sz val="11"/>
        <color theme="1"/>
        <rFont val="Symbol"/>
        <family val="1"/>
        <charset val="2"/>
      </rPr>
      <t xml:space="preserve"> 1/t</t>
    </r>
    <r>
      <rPr>
        <sz val="10.55"/>
        <color theme="1"/>
        <rFont val="Calibri"/>
        <family val="2"/>
      </rPr>
      <t>:</t>
    </r>
  </si>
  <si>
    <t>Time Constant of filter:</t>
  </si>
  <si>
    <t>Iin</t>
  </si>
  <si>
    <t>Iin,max</t>
  </si>
  <si>
    <t>µA</t>
  </si>
  <si>
    <t>Iin:</t>
  </si>
  <si>
    <t>Iin(+) µA</t>
  </si>
  <si>
    <t>(max µA of signal)</t>
  </si>
  <si>
    <t>Transimpedance Amplifier</t>
  </si>
  <si>
    <t>Transimpedance Amplifier + Bias</t>
  </si>
  <si>
    <t>Low voltage audio power amplifier</t>
  </si>
  <si>
    <t>300 kHz</t>
  </si>
  <si>
    <t>LM386N-1</t>
  </si>
  <si>
    <t>Fixed, 20-200X (26dB - 46dB)</t>
  </si>
  <si>
    <t>50-70 mA max (500-700mW power)</t>
  </si>
  <si>
    <t>Designed for use in low voltage consumer applications. The gain is internally set to 20 to keep
external part count low, but the addition of an external resistor and capacitor between pins 1 and 8 increases the gain to any value from 20 to 200. A larger amp will be needed for a larger speaker - this amp is ok for tiny speakers.</t>
  </si>
  <si>
    <t>0-Vcc</t>
  </si>
  <si>
    <t>5-12V (up to 15V)</t>
  </si>
  <si>
    <t>Not listed</t>
  </si>
  <si>
    <t>Ohm</t>
  </si>
  <si>
    <t>Av(at f,signal)</t>
  </si>
  <si>
    <t>Using Xc</t>
  </si>
  <si>
    <t>Gain,dB (Xc derived)</t>
  </si>
  <si>
    <t>Gain,dB (Xc)</t>
  </si>
  <si>
    <t>https://www.electronics-tutorials.ws/filter/filter_5.html</t>
  </si>
  <si>
    <t>Gain (Xc)</t>
  </si>
  <si>
    <t>https://www.electronics-tutorials.ws/opamp/opamp_6.html</t>
  </si>
  <si>
    <t>using Xc</t>
  </si>
  <si>
    <t>using Xc:</t>
  </si>
  <si>
    <t>Attenuator + Buffer</t>
  </si>
  <si>
    <t>Non-Inverting Amplifier - Low Pass Filter</t>
  </si>
  <si>
    <t>Summing Inverting Amplifier (3 inputs)</t>
  </si>
  <si>
    <t>Monolithic IC in Pentawatt package intended for use as low frequency class AB amplifier. With VS max = 44V it is particularly suited for more reliable applications without regulated supply and for 35W driver circuits using low-cost complementary pairs.</t>
  </si>
  <si>
    <t>An unity gain amplifier has gain=1, and a shift of 0V.</t>
  </si>
  <si>
    <t>A comparator swings to its limits of Vout.</t>
  </si>
  <si>
    <t>Non-Inverting Amplifier: Gain then Shift</t>
  </si>
  <si>
    <t>(min V of signal)</t>
  </si>
  <si>
    <t>V (separate from gain - next stage)</t>
  </si>
  <si>
    <t>R4</t>
  </si>
  <si>
    <t>R5</t>
  </si>
  <si>
    <t>R6</t>
  </si>
  <si>
    <t>T:</t>
  </si>
  <si>
    <t>TdegC</t>
  </si>
  <si>
    <t>mV</t>
  </si>
  <si>
    <t>Slope:</t>
  </si>
  <si>
    <t>Intercept:</t>
  </si>
  <si>
    <r>
      <rPr>
        <sz val="11"/>
        <color theme="1"/>
        <rFont val="Symbol"/>
        <family val="1"/>
        <charset val="2"/>
      </rPr>
      <t>°</t>
    </r>
    <r>
      <rPr>
        <sz val="10.55"/>
        <color theme="1"/>
        <rFont val="Calibri"/>
        <family val="2"/>
      </rPr>
      <t>C</t>
    </r>
  </si>
  <si>
    <t>Rb:</t>
  </si>
  <si>
    <t>R4:</t>
  </si>
  <si>
    <t>R5:</t>
  </si>
  <si>
    <t>R6:</t>
  </si>
  <si>
    <t>At (+) Input:</t>
  </si>
  <si>
    <t>V=Vin,2*(R3/(R2+R3))</t>
  </si>
  <si>
    <t>V (= V+/2)</t>
  </si>
  <si>
    <r>
      <rPr>
        <b/>
        <sz val="11"/>
        <color theme="1"/>
        <rFont val="Calibri"/>
        <family val="2"/>
        <scheme val="minor"/>
      </rPr>
      <t xml:space="preserve">Note: </t>
    </r>
    <r>
      <rPr>
        <sz val="11"/>
        <color theme="1"/>
        <rFont val="Calibri"/>
        <family val="2"/>
        <scheme val="minor"/>
      </rPr>
      <t>Probe is referenced to V+/2 (negative probe grounded to V+/2)</t>
    </r>
  </si>
  <si>
    <t>Key Points</t>
  </si>
  <si>
    <t>1. The amplifier maintains its non-inverting characteristic, as the output is in phase with the input.</t>
  </si>
  <si>
    <t>2. The Vdd/2 bias allows for maximum signal swing in a single-supply system.</t>
  </si>
  <si>
    <t>3. AC signals are amplified around the Vdd/2 reference point, effectively creating an AC-coupled amplifier.</t>
  </si>
  <si>
    <t>(max V swing of signal from probe-)</t>
  </si>
  <si>
    <r>
      <t>Inverting + Bias Amplifier (Probe Referenced to V</t>
    </r>
    <r>
      <rPr>
        <vertAlign val="superscript"/>
        <sz val="36"/>
        <color theme="1"/>
        <rFont val="Calibri"/>
        <family val="2"/>
        <scheme val="minor"/>
      </rPr>
      <t>+</t>
    </r>
    <r>
      <rPr>
        <sz val="36"/>
        <color theme="1"/>
        <rFont val="Calibri"/>
        <family val="2"/>
        <scheme val="minor"/>
      </rPr>
      <t>/2)</t>
    </r>
  </si>
  <si>
    <r>
      <t>Non-Inverting + Bias Amplifier (Probe Referenced to V</t>
    </r>
    <r>
      <rPr>
        <vertAlign val="superscript"/>
        <sz val="36"/>
        <color theme="1"/>
        <rFont val="Calibri"/>
        <family val="2"/>
        <scheme val="minor"/>
      </rPr>
      <t>+</t>
    </r>
    <r>
      <rPr>
        <sz val="36"/>
        <color theme="1"/>
        <rFont val="Calibri"/>
        <family val="2"/>
        <scheme val="minor"/>
      </rPr>
      <t>/2)</t>
    </r>
  </si>
  <si>
    <t>1. The amplifier maintains its inverting characteristic, as the output is in opposite phase of the input.</t>
  </si>
  <si>
    <t>Source: https://ww1.microchip.com/downloads/en/DeviceDoc/20001811F.pdf</t>
  </si>
  <si>
    <t xml:space="preserve">Source: </t>
  </si>
  <si>
    <t xml:space="preserve"> https://www.pyromation.com/Downloads/Data/emfk_f.pdf</t>
  </si>
  <si>
    <t>Unity Gain - Band Pass Filter</t>
  </si>
  <si>
    <t>An unity gain amplifier has gain=1, and a shift of 0V in the pass region.</t>
  </si>
  <si>
    <t>LPF:</t>
  </si>
  <si>
    <t>HPF:</t>
  </si>
  <si>
    <t>C2</t>
  </si>
  <si>
    <t>Xc1</t>
  </si>
  <si>
    <t>Xc2</t>
  </si>
  <si>
    <t>fr:</t>
  </si>
  <si>
    <t>BW@3dB:</t>
  </si>
  <si>
    <r>
      <t>Q</t>
    </r>
    <r>
      <rPr>
        <vertAlign val="subscript"/>
        <sz val="11"/>
        <color theme="1"/>
        <rFont val="Calibri"/>
        <family val="2"/>
        <scheme val="minor"/>
      </rPr>
      <t>BP:</t>
    </r>
  </si>
  <si>
    <t>C2:</t>
  </si>
  <si>
    <t>Inverting + Bias HPF (AC Amplifier)</t>
  </si>
  <si>
    <t>Inverting Amplifier - High Pass Filter 1</t>
  </si>
  <si>
    <t>Non-Inverting Amplifier - High Pass Filter 1</t>
  </si>
  <si>
    <t>Non-Inverting Amplifier - High Pass Filter 2</t>
  </si>
  <si>
    <t>A.3.18 Inverting AC Amplifier</t>
  </si>
  <si>
    <t>Mancini, R. "Op-Amps for Everyone, Vol 2.". August 2022, SLOD006B. Texas Instruments, Page A-22.</t>
  </si>
  <si>
    <r>
      <rPr>
        <b/>
        <sz val="11"/>
        <color theme="1"/>
        <rFont val="Calibri"/>
        <family val="2"/>
        <scheme val="minor"/>
      </rPr>
      <t xml:space="preserve">Source: </t>
    </r>
    <r>
      <rPr>
        <sz val="11"/>
        <color theme="1"/>
        <rFont val="Calibri"/>
        <family val="2"/>
        <scheme val="minor"/>
      </rPr>
      <t xml:space="preserve"> https://web.mit.edu/6.101/www/reference/op_amps_everyone.pdf</t>
    </r>
  </si>
  <si>
    <t>Don't do this if Vin is positive!</t>
  </si>
  <si>
    <t>Source:</t>
  </si>
  <si>
    <r>
      <rPr>
        <b/>
        <sz val="11"/>
        <color theme="1"/>
        <rFont val="Calibri"/>
        <family val="2"/>
        <scheme val="minor"/>
      </rPr>
      <t>Source:</t>
    </r>
    <r>
      <rPr>
        <sz val="11"/>
        <color theme="1"/>
        <rFont val="Calibri"/>
        <family val="2"/>
        <scheme val="minor"/>
      </rPr>
      <t xml:space="preserve"> Perplexity.ai</t>
    </r>
  </si>
  <si>
    <r>
      <rPr>
        <b/>
        <sz val="11"/>
        <color theme="1"/>
        <rFont val="Calibri"/>
        <family val="2"/>
        <scheme val="minor"/>
      </rPr>
      <t xml:space="preserve">Source: </t>
    </r>
    <r>
      <rPr>
        <sz val="11"/>
        <color theme="1"/>
        <rFont val="Calibri"/>
        <family val="2"/>
        <scheme val="minor"/>
      </rPr>
      <t>Mancini, R. "Op-amps for everyone". Texas Instruments, Aug 2002</t>
    </r>
  </si>
  <si>
    <t>This doesn't "filter" out low frequencies, it amplifies higher ones more aggressively.</t>
  </si>
  <si>
    <t>https://ww1.microchip.com/downloads/en/DeviceDoc/20001811F.pdf</t>
  </si>
  <si>
    <r>
      <t>Key Points</t>
    </r>
    <r>
      <rPr>
        <sz val="11"/>
        <color theme="1"/>
        <rFont val="Calibri"/>
        <family val="2"/>
        <scheme val="minor"/>
      </rPr>
      <t xml:space="preserve"> (generated from Perplexity.ai)</t>
    </r>
  </si>
  <si>
    <r>
      <rPr>
        <sz val="11"/>
        <color theme="1"/>
        <rFont val="Symbol"/>
        <family val="1"/>
        <charset val="2"/>
      </rPr>
      <t>D</t>
    </r>
    <r>
      <rPr>
        <sz val="9.35"/>
        <color theme="1"/>
        <rFont val="Calibri"/>
        <family val="2"/>
      </rPr>
      <t>t</t>
    </r>
  </si>
  <si>
    <t>w</t>
  </si>
  <si>
    <t>f</t>
  </si>
  <si>
    <t>s</t>
  </si>
  <si>
    <t>rad</t>
  </si>
  <si>
    <r>
      <t>|H(j</t>
    </r>
    <r>
      <rPr>
        <sz val="11"/>
        <color theme="1"/>
        <rFont val="Symbol"/>
        <family val="1"/>
        <charset val="2"/>
      </rPr>
      <t>w</t>
    </r>
    <r>
      <rPr>
        <sz val="11"/>
        <color theme="1"/>
        <rFont val="Calibri"/>
        <family val="2"/>
        <scheme val="minor"/>
      </rPr>
      <t>)|</t>
    </r>
  </si>
  <si>
    <t>The phase shift of an HPF is positive. The output leads the input.</t>
  </si>
  <si>
    <t>The phase shift of an LPF is negative. The output lags the input.</t>
  </si>
  <si>
    <t>(Equations generated by Perplexity.ai)</t>
  </si>
  <si>
    <t>Non-Inverting Amplifier - Low Pass Filter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</si>
</sst>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5">
    <font>
      <sz val="11"/>
      <color theme="1"/>
      <name val="Calibri"/>
      <family val="2"/>
      <scheme val="minor"/>
    </font>
    <font>
      <b/>
      <sz val="11"/>
      <color theme="1"/>
      <name val="Calibri"/>
      <family val="2"/>
      <scheme val="minor"/>
    </font>
    <font>
      <b/>
      <sz val="11"/>
      <color rgb="FFFF0000"/>
      <name val="Calibri"/>
      <family val="2"/>
      <scheme val="minor"/>
    </font>
    <font>
      <b/>
      <sz val="11"/>
      <color rgb="FF0070C0"/>
      <name val="Calibri"/>
      <family val="2"/>
      <scheme val="minor"/>
    </font>
    <font>
      <sz val="11"/>
      <color rgb="FF0070C0"/>
      <name val="Calibri"/>
      <family val="2"/>
      <scheme val="minor"/>
    </font>
    <font>
      <sz val="36"/>
      <color theme="1"/>
      <name val="Calibri"/>
      <family val="2"/>
      <scheme val="minor"/>
    </font>
    <font>
      <b/>
      <sz val="14"/>
      <color theme="1"/>
      <name val="Calibri"/>
      <family val="2"/>
      <scheme val="minor"/>
    </font>
    <font>
      <sz val="11"/>
      <color theme="4"/>
      <name val="Calibri"/>
      <family val="2"/>
      <scheme val="minor"/>
    </font>
    <font>
      <sz val="9"/>
      <name val="Calibri"/>
      <family val="2"/>
      <scheme val="minor"/>
    </font>
    <font>
      <b/>
      <sz val="12"/>
      <color theme="1"/>
      <name val="Calibri"/>
      <family val="2"/>
      <scheme val="minor"/>
    </font>
    <font>
      <b/>
      <sz val="11"/>
      <color theme="4"/>
      <name val="Calibri"/>
      <family val="2"/>
      <scheme val="minor"/>
    </font>
    <font>
      <sz val="11"/>
      <color theme="1"/>
      <name val="Symbol"/>
      <family val="1"/>
      <charset val="2"/>
    </font>
    <font>
      <sz val="10.55"/>
      <color theme="1"/>
      <name val="Calibri"/>
      <family val="2"/>
    </font>
    <font>
      <sz val="11"/>
      <color theme="1"/>
      <name val="Calibri"/>
      <family val="1"/>
      <charset val="2"/>
    </font>
    <font>
      <b/>
      <sz val="18"/>
      <color theme="1"/>
      <name val="Calibri"/>
      <family val="2"/>
      <scheme val="minor"/>
    </font>
    <font>
      <sz val="26"/>
      <color theme="1"/>
      <name val="Calibri"/>
      <family val="2"/>
      <scheme val="minor"/>
    </font>
    <font>
      <vertAlign val="subscript"/>
      <sz val="11"/>
      <color theme="1"/>
      <name val="Calibri"/>
      <family val="2"/>
      <scheme val="minor"/>
    </font>
    <font>
      <sz val="12"/>
      <color theme="1"/>
      <name val="Calibri"/>
      <family val="2"/>
      <scheme val="minor"/>
    </font>
    <font>
      <sz val="11"/>
      <color rgb="FFFF0000"/>
      <name val="Calibri"/>
      <family val="2"/>
      <scheme val="minor"/>
    </font>
    <font>
      <i/>
      <sz val="11"/>
      <color theme="1"/>
      <name val="Calibri"/>
      <family val="2"/>
      <scheme val="minor"/>
    </font>
    <font>
      <sz val="11"/>
      <color theme="8" tint="0.39997558519241921"/>
      <name val="Calibri"/>
      <family val="2"/>
      <scheme val="minor"/>
    </font>
    <font>
      <u/>
      <sz val="11"/>
      <color theme="10"/>
      <name val="Calibri"/>
      <family val="2"/>
      <scheme val="minor"/>
    </font>
    <font>
      <vertAlign val="superscript"/>
      <sz val="36"/>
      <color theme="1"/>
      <name val="Calibri"/>
      <family val="2"/>
      <scheme val="minor"/>
    </font>
    <font>
      <i/>
      <sz val="11"/>
      <color rgb="FFFF0000"/>
      <name val="Calibri"/>
      <family val="2"/>
      <scheme val="minor"/>
    </font>
    <font>
      <sz val="9.35"/>
      <color theme="1"/>
      <name val="Calibri"/>
      <family val="2"/>
    </font>
  </fonts>
  <fills count="5">
    <fill>
      <patternFill patternType="none"/>
    </fill>
    <fill>
      <patternFill patternType="gray125"/>
    </fill>
    <fill>
      <patternFill patternType="solid">
        <fgColor theme="0"/>
        <bgColor indexed="64"/>
      </patternFill>
    </fill>
    <fill>
      <patternFill patternType="solid">
        <fgColor theme="0" tint="-0.14999847407452621"/>
        <bgColor indexed="64"/>
      </patternFill>
    </fill>
    <fill>
      <patternFill patternType="solid">
        <fgColor theme="0" tint="-4.9989318521683403E-2"/>
        <bgColor indexed="64"/>
      </patternFill>
    </fill>
  </fills>
  <borders count="5">
    <border>
      <left/>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s>
  <cellStyleXfs count="3">
    <xf numFmtId="0" fontId="0" fillId="0" borderId="0"/>
    <xf numFmtId="0" fontId="17" fillId="0" borderId="0"/>
    <xf numFmtId="0" fontId="21" fillId="0" borderId="0" applyNumberFormat="0" applyFill="0" applyBorder="0" applyAlignment="0" applyProtection="0"/>
  </cellStyleXfs>
  <cellXfs count="34">
    <xf numFmtId="0" fontId="0" fillId="0" borderId="0" xfId="0"/>
    <xf numFmtId="0" fontId="5" fillId="2" borderId="0" xfId="0" applyFont="1" applyFill="1"/>
    <xf numFmtId="0" fontId="0" fillId="2" borderId="0" xfId="0" applyFill="1"/>
    <xf numFmtId="0" fontId="3" fillId="2" borderId="0" xfId="0" applyFont="1" applyFill="1"/>
    <xf numFmtId="0" fontId="2" fillId="2" borderId="1" xfId="0" applyFont="1" applyFill="1" applyBorder="1"/>
    <xf numFmtId="0" fontId="2" fillId="2" borderId="3" xfId="0" applyFont="1" applyFill="1" applyBorder="1"/>
    <xf numFmtId="0" fontId="1" fillId="2" borderId="0" xfId="0" applyFont="1" applyFill="1"/>
    <xf numFmtId="0" fontId="1" fillId="3" borderId="4" xfId="0" applyFont="1" applyFill="1" applyBorder="1"/>
    <xf numFmtId="0" fontId="2" fillId="2" borderId="2" xfId="0" applyFont="1" applyFill="1" applyBorder="1"/>
    <xf numFmtId="0" fontId="4" fillId="2" borderId="0" xfId="0" applyFont="1" applyFill="1"/>
    <xf numFmtId="0" fontId="1" fillId="2" borderId="0" xfId="0" applyFont="1" applyFill="1" applyAlignment="1">
      <alignment horizontal="right"/>
    </xf>
    <xf numFmtId="0" fontId="6" fillId="2" borderId="0" xfId="0" applyFont="1" applyFill="1" applyAlignment="1">
      <alignment vertical="top"/>
    </xf>
    <xf numFmtId="0" fontId="7" fillId="2" borderId="0" xfId="0" applyFont="1" applyFill="1"/>
    <xf numFmtId="0" fontId="8" fillId="2" borderId="0" xfId="0" applyFont="1" applyFill="1"/>
    <xf numFmtId="0" fontId="9" fillId="2" borderId="0" xfId="0" applyFont="1" applyFill="1"/>
    <xf numFmtId="0" fontId="10" fillId="2" borderId="0" xfId="0" applyFont="1" applyFill="1"/>
    <xf numFmtId="0" fontId="2" fillId="2" borderId="0" xfId="0" applyFont="1" applyFill="1"/>
    <xf numFmtId="0" fontId="13" fillId="2" borderId="0" xfId="0" applyFont="1" applyFill="1"/>
    <xf numFmtId="0" fontId="0" fillId="2" borderId="0" xfId="0" applyFill="1" applyAlignment="1">
      <alignment horizontal="left" vertical="top" wrapText="1"/>
    </xf>
    <xf numFmtId="0" fontId="0" fillId="2" borderId="4" xfId="0" applyFill="1" applyBorder="1" applyAlignment="1">
      <alignment horizontal="left" vertical="top" wrapText="1"/>
    </xf>
    <xf numFmtId="0" fontId="1" fillId="4" borderId="4" xfId="0" applyFont="1" applyFill="1" applyBorder="1" applyAlignment="1">
      <alignment horizontal="left" vertical="top" wrapText="1"/>
    </xf>
    <xf numFmtId="0" fontId="0" fillId="2" borderId="4" xfId="0" quotePrefix="1" applyFill="1" applyBorder="1" applyAlignment="1">
      <alignment horizontal="left" vertical="top" wrapText="1"/>
    </xf>
    <xf numFmtId="0" fontId="6" fillId="4" borderId="4" xfId="0" applyFont="1" applyFill="1" applyBorder="1" applyAlignment="1">
      <alignment horizontal="left" vertical="top" wrapText="1"/>
    </xf>
    <xf numFmtId="0" fontId="14" fillId="2" borderId="4" xfId="0" applyFont="1" applyFill="1" applyBorder="1" applyAlignment="1">
      <alignment horizontal="left" vertical="top" wrapText="1"/>
    </xf>
    <xf numFmtId="0" fontId="15" fillId="2" borderId="4" xfId="0" applyFont="1" applyFill="1" applyBorder="1" applyAlignment="1">
      <alignment horizontal="center" vertical="center" wrapText="1"/>
    </xf>
    <xf numFmtId="0" fontId="0" fillId="2" borderId="0" xfId="0" quotePrefix="1" applyFill="1"/>
    <xf numFmtId="0" fontId="17" fillId="2" borderId="0" xfId="1" applyFill="1"/>
    <xf numFmtId="0" fontId="19" fillId="2" borderId="0" xfId="0" applyFont="1" applyFill="1"/>
    <xf numFmtId="0" fontId="20" fillId="2" borderId="0" xfId="0" applyFont="1" applyFill="1"/>
    <xf numFmtId="0" fontId="18" fillId="2" borderId="0" xfId="0" applyFont="1" applyFill="1"/>
    <xf numFmtId="0" fontId="21" fillId="2" borderId="0" xfId="2" applyFill="1"/>
    <xf numFmtId="0" fontId="0" fillId="2" borderId="4" xfId="0" applyFill="1" applyBorder="1"/>
    <xf numFmtId="0" fontId="23" fillId="2" borderId="0" xfId="0" applyFont="1" applyFill="1"/>
    <xf numFmtId="0" fontId="11" fillId="2" borderId="0" xfId="0" applyFont="1" applyFill="1"/>
  </cellXfs>
  <cellStyles count="3">
    <cellStyle name="Hyperlink" xfId="2" builtinId="8"/>
    <cellStyle name="Normal" xfId="0" builtinId="0"/>
    <cellStyle name="Normal 2" xfId="1" xr:uid="{FA847615-421B-442D-905B-325EC42393AD}"/>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0.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1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2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2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2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2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3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3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3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36.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6.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8.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'Signal Generator'!$C$10</c:f>
              <c:strCache>
                <c:ptCount val="1"/>
                <c:pt idx="0">
                  <c:v>Vin</c:v>
                </c:pt>
              </c:strCache>
            </c:strRef>
          </c:tx>
          <c:spPr>
            <a:ln>
              <a:solidFill>
                <a:schemeClr val="tx1"/>
              </a:solidFill>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4912-4EB6-9E82-5B930203AEE7}"/>
            </c:ext>
          </c:extLst>
        </c:ser>
        <c:ser>
          <c:idx val="1"/>
          <c:order val="1"/>
          <c:tx>
            <c:strRef>
              <c:f>'Signal Generator'!$D$10</c:f>
              <c:strCache>
                <c:ptCount val="1"/>
                <c:pt idx="0">
                  <c:v>Vout</c:v>
                </c:pt>
              </c:strCache>
            </c:strRef>
          </c:tx>
          <c:spPr>
            <a:ln>
              <a:solidFill>
                <a:srgbClr val="C00000"/>
              </a:solidFill>
              <a:prstDash val="dash"/>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Generator'!$D$11:$D$36</c:f>
              <c:numCache>
                <c:formatCode>General</c:formatCode>
                <c:ptCount val="26"/>
                <c:pt idx="0">
                  <c:v>2.599833416646828</c:v>
                </c:pt>
                <c:pt idx="1">
                  <c:v>2.6986693307950613</c:v>
                </c:pt>
                <c:pt idx="2">
                  <c:v>2.7955202066613394</c:v>
                </c:pt>
                <c:pt idx="3">
                  <c:v>3.4635581854171931</c:v>
                </c:pt>
                <c:pt idx="4">
                  <c:v>3.2457052121767198</c:v>
                </c:pt>
                <c:pt idx="5">
                  <c:v>2.3422543058567515</c:v>
                </c:pt>
                <c:pt idx="6">
                  <c:v>1.5838340632505452</c:v>
                </c:pt>
                <c:pt idx="7">
                  <c:v>1.6677325577760986</c:v>
                </c:pt>
                <c:pt idx="8">
                  <c:v>2.5168139004843497</c:v>
                </c:pt>
                <c:pt idx="9">
                  <c:v>3.3504366206285643</c:v>
                </c:pt>
                <c:pt idx="10">
                  <c:v>3.4021718337562943</c:v>
                </c:pt>
                <c:pt idx="11">
                  <c:v>2.6244544235070633</c:v>
                </c:pt>
                <c:pt idx="12">
                  <c:v>1.7323141902364187</c:v>
                </c:pt>
                <c:pt idx="13">
                  <c:v>1.5459807500979106</c:v>
                </c:pt>
                <c:pt idx="14">
                  <c:v>2.2367682086341976</c:v>
                </c:pt>
                <c:pt idx="15">
                  <c:v>3.169569762196601</c:v>
                </c:pt>
                <c:pt idx="16">
                  <c:v>3.4867719642746136</c:v>
                </c:pt>
                <c:pt idx="17">
                  <c:v>2.8967405731306135</c:v>
                </c:pt>
                <c:pt idx="18">
                  <c:v>1.9419477287132207</c:v>
                </c:pt>
                <c:pt idx="19">
                  <c:v>1.500225568926989</c:v>
                </c:pt>
                <c:pt idx="20">
                  <c:v>1.9776914103732683</c:v>
                </c:pt>
                <c:pt idx="21">
                  <c:v>2.9353653603728933</c:v>
                </c:pt>
                <c:pt idx="22">
                  <c:v>3.4927664058359071</c:v>
                </c:pt>
                <c:pt idx="23">
                  <c:v>3.1374225961502389</c:v>
                </c:pt>
                <c:pt idx="24">
                  <c:v>2.196035391188953</c:v>
                </c:pt>
                <c:pt idx="25">
                  <c:v>1.5341118457639296</c:v>
                </c:pt>
              </c:numCache>
            </c:numRef>
          </c:yVal>
          <c:smooth val="1"/>
          <c:extLst>
            <c:ext xmlns:c16="http://schemas.microsoft.com/office/drawing/2014/chart" uri="{C3380CC4-5D6E-409C-BE32-E72D297353CC}">
              <c16:uniqueId val="{00000001-4912-4EB6-9E82-5B930203AEE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BPF'!$E$47</c:f>
              <c:strCache>
                <c:ptCount val="1"/>
                <c:pt idx="0">
                  <c:v>Gain,dB</c:v>
                </c:pt>
              </c:strCache>
            </c:strRef>
          </c:tx>
          <c:spPr>
            <a:ln w="19050" cap="rnd">
              <a:solidFill>
                <a:srgbClr val="C00000"/>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BPF'!$E$48:$E$102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-29.078069287528319</c:v>
                </c:pt>
                <c:pt idx="7">
                  <c:v>-27.919890405762121</c:v>
                </c:pt>
                <c:pt idx="8">
                  <c:v>-26.898720603916686</c:v>
                </c:pt>
                <c:pt idx="9">
                  <c:v>-25.985671748033681</c:v>
                </c:pt>
                <c:pt idx="10">
                  <c:v>-19.998113426146517</c:v>
                </c:pt>
                <c:pt idx="11">
                  <c:v>-16.530815839199025</c:v>
                </c:pt>
                <c:pt idx="12">
                  <c:v>-14.107269932957232</c:v>
                </c:pt>
                <c:pt idx="13">
                  <c:v>-12.263953803576404</c:v>
                </c:pt>
                <c:pt idx="14">
                  <c:v>-10.793607762136858</c:v>
                </c:pt>
                <c:pt idx="15">
                  <c:v>-9.5849224833549727</c:v>
                </c:pt>
                <c:pt idx="16">
                  <c:v>-8.5707735257013713</c:v>
                </c:pt>
                <c:pt idx="17">
                  <c:v>-7.7072626255765346</c:v>
                </c:pt>
                <c:pt idx="18">
                  <c:v>-6.963900609578987</c:v>
                </c:pt>
                <c:pt idx="19">
                  <c:v>-3.0310338916776187</c:v>
                </c:pt>
                <c:pt idx="20">
                  <c:v>-1.6805579019933692</c:v>
                </c:pt>
                <c:pt idx="21">
                  <c:v>-1.1320511633780921</c:v>
                </c:pt>
                <c:pt idx="22">
                  <c:v>-0.90427298697860647</c:v>
                </c:pt>
                <c:pt idx="23">
                  <c:v>-0.83107846874675162</c:v>
                </c:pt>
                <c:pt idx="24">
                  <c:v>-0.84425033077178036</c:v>
                </c:pt>
                <c:pt idx="25">
                  <c:v>-0.91155047008158085</c:v>
                </c:pt>
                <c:pt idx="26">
                  <c:v>-1.0158162928687582</c:v>
                </c:pt>
                <c:pt idx="27">
                  <c:v>-1.1469118455564911</c:v>
                </c:pt>
                <c:pt idx="28">
                  <c:v>-3.0761200633474663</c:v>
                </c:pt>
                <c:pt idx="29">
                  <c:v>-5.1697862704451421</c:v>
                </c:pt>
                <c:pt idx="30">
                  <c:v>-7.0372662610907728</c:v>
                </c:pt>
                <c:pt idx="31">
                  <c:v>-8.6499316269221751</c:v>
                </c:pt>
                <c:pt idx="32">
                  <c:v>-10.046191212223947</c:v>
                </c:pt>
                <c:pt idx="33">
                  <c:v>-11.268207769709962</c:v>
                </c:pt>
                <c:pt idx="34">
                  <c:v>-12.350478884535951</c:v>
                </c:pt>
                <c:pt idx="35">
                  <c:v>-13.319554237999156</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-40.046431015263302</c:v>
                </c:pt>
                <c:pt idx="47">
                  <c:v>-43.56801509330262</c:v>
                </c:pt>
                <c:pt idx="48">
                  <c:v>-46.066705436292288</c:v>
                </c:pt>
                <c:pt idx="49">
                  <c:v>-48.004866635776111</c:v>
                </c:pt>
                <c:pt idx="50">
                  <c:v>-49.588470338438533</c:v>
                </c:pt>
                <c:pt idx="51">
                  <c:v>-50.927393337041991</c:v>
                </c:pt>
                <c:pt idx="52">
                  <c:v>-52.087223972772165</c:v>
                </c:pt>
                <c:pt idx="53">
                  <c:v>-53.110268728636704</c:v>
                </c:pt>
                <c:pt idx="54">
                  <c:v>-54.025414467616869</c:v>
                </c:pt>
              </c:numCache>
            </c:numRef>
          </c:yVal>
          <c:smooth val="0"/>
          <c:extLst>
            <c:ext xmlns:c16="http://schemas.microsoft.com/office/drawing/2014/chart" uri="{C3380CC4-5D6E-409C-BE32-E72D297353CC}">
              <c16:uniqueId val="{00000000-344D-478E-9190-D08C31F50938}"/>
            </c:ext>
          </c:extLst>
        </c:ser>
        <c:ser>
          <c:idx val="1"/>
          <c:order val="1"/>
          <c:spPr>
            <a:ln w="19050" cap="rnd">
              <a:solidFill>
                <a:schemeClr val="accent2"/>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BPF'!$F$48:$F$102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-29.078069287528322</c:v>
                </c:pt>
                <c:pt idx="7">
                  <c:v>-27.919890405762118</c:v>
                </c:pt>
                <c:pt idx="8">
                  <c:v>-26.898720603916686</c:v>
                </c:pt>
                <c:pt idx="9">
                  <c:v>-25.985671748033681</c:v>
                </c:pt>
                <c:pt idx="10">
                  <c:v>-19.998113426146517</c:v>
                </c:pt>
                <c:pt idx="11">
                  <c:v>-16.530815839199025</c:v>
                </c:pt>
                <c:pt idx="12">
                  <c:v>-14.10726993295723</c:v>
                </c:pt>
                <c:pt idx="13">
                  <c:v>-12.263953803576404</c:v>
                </c:pt>
                <c:pt idx="14">
                  <c:v>-10.793607762136858</c:v>
                </c:pt>
                <c:pt idx="15">
                  <c:v>-9.5849224833549709</c:v>
                </c:pt>
                <c:pt idx="16">
                  <c:v>-8.5707735257013677</c:v>
                </c:pt>
                <c:pt idx="17">
                  <c:v>-7.7072626255765346</c:v>
                </c:pt>
                <c:pt idx="18">
                  <c:v>-6.963900609578987</c:v>
                </c:pt>
                <c:pt idx="19">
                  <c:v>-3.0310338916776169</c:v>
                </c:pt>
                <c:pt idx="20">
                  <c:v>-1.6805579019933692</c:v>
                </c:pt>
                <c:pt idx="21">
                  <c:v>-1.1320511633780932</c:v>
                </c:pt>
                <c:pt idx="22">
                  <c:v>-0.90427298697860869</c:v>
                </c:pt>
                <c:pt idx="23">
                  <c:v>-0.83107846874675162</c:v>
                </c:pt>
                <c:pt idx="24">
                  <c:v>-0.84425033077178036</c:v>
                </c:pt>
                <c:pt idx="25">
                  <c:v>-0.91155047008158296</c:v>
                </c:pt>
                <c:pt idx="26">
                  <c:v>-1.0158162928687582</c:v>
                </c:pt>
                <c:pt idx="27">
                  <c:v>-1.1469118455564922</c:v>
                </c:pt>
                <c:pt idx="28">
                  <c:v>-3.0761200633474663</c:v>
                </c:pt>
                <c:pt idx="29">
                  <c:v>-5.1697862704451421</c:v>
                </c:pt>
                <c:pt idx="30">
                  <c:v>-7.0372662610907728</c:v>
                </c:pt>
                <c:pt idx="31">
                  <c:v>-8.6499316269221751</c:v>
                </c:pt>
                <c:pt idx="32">
                  <c:v>-10.046191212223947</c:v>
                </c:pt>
                <c:pt idx="33">
                  <c:v>-11.268207769709967</c:v>
                </c:pt>
                <c:pt idx="34">
                  <c:v>-12.350478884535953</c:v>
                </c:pt>
                <c:pt idx="35">
                  <c:v>-13.319554237999153</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-40.046431015263309</c:v>
                </c:pt>
                <c:pt idx="47">
                  <c:v>-43.56801509330262</c:v>
                </c:pt>
                <c:pt idx="48">
                  <c:v>-46.066705436292288</c:v>
                </c:pt>
                <c:pt idx="49">
                  <c:v>-48.004866635776111</c:v>
                </c:pt>
                <c:pt idx="50">
                  <c:v>-49.588470338438533</c:v>
                </c:pt>
                <c:pt idx="51">
                  <c:v>-50.927393337042005</c:v>
                </c:pt>
                <c:pt idx="52">
                  <c:v>-52.087223972772172</c:v>
                </c:pt>
                <c:pt idx="53">
                  <c:v>-53.110268728636704</c:v>
                </c:pt>
                <c:pt idx="54">
                  <c:v>-54.025414467616869</c:v>
                </c:pt>
              </c:numCache>
            </c:numRef>
          </c:yVal>
          <c:smooth val="0"/>
          <c:extLst>
            <c:ext xmlns:c16="http://schemas.microsoft.com/office/drawing/2014/chart" uri="{C3380CC4-5D6E-409C-BE32-E72D297353CC}">
              <c16:uniqueId val="{00000001-344D-478E-9190-D08C31F50938}"/>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Inv!$C$9</c:f>
              <c:strCache>
                <c:ptCount val="1"/>
                <c:pt idx="0">
                  <c:v>Vin(+)</c:v>
                </c:pt>
              </c:strCache>
            </c:strRef>
          </c:tx>
          <c:spPr>
            <a:ln>
              <a:solidFill>
                <a:schemeClr val="tx1"/>
              </a:solidFill>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AF8B-43EF-8423-D7F48084382D}"/>
            </c:ext>
          </c:extLst>
        </c:ser>
        <c:ser>
          <c:idx val="1"/>
          <c:order val="1"/>
          <c:tx>
            <c:strRef>
              <c:f>Inv!$E$9</c:f>
              <c:strCache>
                <c:ptCount val="1"/>
                <c:pt idx="0">
                  <c:v>Vout</c:v>
                </c:pt>
              </c:strCache>
            </c:strRef>
          </c:tx>
          <c:spPr>
            <a:ln>
              <a:solidFill>
                <a:srgbClr val="C00000"/>
              </a:solidFill>
              <a:prstDash val="dash"/>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Inv!$E$10:$E$35</c:f>
              <c:numCache>
                <c:formatCode>General</c:formatCode>
                <c:ptCount val="26"/>
                <c:pt idx="0">
                  <c:v>0</c:v>
                </c:pt>
                <c:pt idx="1">
                  <c:v>-0.49916708323414077</c:v>
                </c:pt>
                <c:pt idx="2">
                  <c:v>-0.99334665397530608</c:v>
                </c:pt>
                <c:pt idx="3">
                  <c:v>-4.660195429836131</c:v>
                </c:pt>
                <c:pt idx="4">
                  <c:v>-4.0424820190979505</c:v>
                </c:pt>
                <c:pt idx="5">
                  <c:v>0.29187071713790042</c:v>
                </c:pt>
                <c:pt idx="6">
                  <c:v>4.357878862067941</c:v>
                </c:pt>
                <c:pt idx="7">
                  <c:v>4.4172732786007654</c:v>
                </c:pt>
                <c:pt idx="8">
                  <c:v>0.41544701408748197</c:v>
                </c:pt>
                <c:pt idx="9">
                  <c:v>-3.9683393192457657</c:v>
                </c:pt>
                <c:pt idx="10">
                  <c:v>-4.7036527833988657</c:v>
                </c:pt>
                <c:pt idx="11">
                  <c:v>-1.1144495705012383</c:v>
                </c:pt>
                <c:pt idx="12">
                  <c:v>3.4993734379677117</c:v>
                </c:pt>
                <c:pt idx="13">
                  <c:v>4.8958886457565871</c:v>
                </c:pt>
                <c:pt idx="14">
                  <c:v>1.7911464111841435</c:v>
                </c:pt>
                <c:pt idx="15">
                  <c:v>-2.9603675735361152</c:v>
                </c:pt>
                <c:pt idx="16">
                  <c:v>-4.990133263581809</c:v>
                </c:pt>
                <c:pt idx="17">
                  <c:v>-2.4319934442689983</c:v>
                </c:pt>
                <c:pt idx="18">
                  <c:v>2.3621099319923307</c:v>
                </c:pt>
                <c:pt idx="19">
                  <c:v>4.9845003302079807</c:v>
                </c:pt>
                <c:pt idx="20">
                  <c:v>3.0241641120314204</c:v>
                </c:pt>
                <c:pt idx="21">
                  <c:v>-1.7165746440994769</c:v>
                </c:pt>
                <c:pt idx="22">
                  <c:v>-4.8791025888348774</c:v>
                </c:pt>
                <c:pt idx="23">
                  <c:v>-3.5558061145299118</c:v>
                </c:pt>
                <c:pt idx="24">
                  <c:v>1.0366821030337938</c:v>
                </c:pt>
                <c:pt idx="25">
                  <c:v>4.6760495759726943</c:v>
                </c:pt>
              </c:numCache>
            </c:numRef>
          </c:yVal>
          <c:smooth val="1"/>
          <c:extLst>
            <c:ext xmlns:c16="http://schemas.microsoft.com/office/drawing/2014/chart" uri="{C3380CC4-5D6E-409C-BE32-E72D297353CC}">
              <c16:uniqueId val="{00000001-AF8B-43EF-8423-D7F48084382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LPF'!$C$16</c:f>
              <c:strCache>
                <c:ptCount val="1"/>
                <c:pt idx="0">
                  <c:v>Vin(+)</c:v>
                </c:pt>
              </c:strCache>
            </c:strRef>
          </c:tx>
          <c:spPr>
            <a:ln>
              <a:solidFill>
                <a:schemeClr val="tx1"/>
              </a:solidFill>
            </a:ln>
          </c:spPr>
          <c:marker>
            <c:symbol val="none"/>
          </c:marker>
          <c:xVal>
            <c:numRef>
              <c:f>'Inv LPF'!$B$17:$B$42</c:f>
              <c:numCache>
                <c:formatCode>General</c:formatCode>
                <c:ptCount val="26"/>
                <c:pt idx="0">
                  <c:v>0</c:v>
                </c:pt>
                <c:pt idx="1">
                  <c:v>2.0106312125362858E-4</c:v>
                </c:pt>
                <c:pt idx="2">
                  <c:v>4.0212624250725716E-4</c:v>
                </c:pt>
                <c:pt idx="3">
                  <c:v>6.0318936376088574E-4</c:v>
                </c:pt>
                <c:pt idx="4">
                  <c:v>8.0425248501451432E-4</c:v>
                </c:pt>
                <c:pt idx="5">
                  <c:v>1.005315606268143E-3</c:v>
                </c:pt>
                <c:pt idx="6">
                  <c:v>1.2063787275217717E-3</c:v>
                </c:pt>
                <c:pt idx="7">
                  <c:v>1.4074418487754004E-3</c:v>
                </c:pt>
                <c:pt idx="8">
                  <c:v>1.6085049700290291E-3</c:v>
                </c:pt>
                <c:pt idx="9">
                  <c:v>1.8095680912826578E-3</c:v>
                </c:pt>
                <c:pt idx="10">
                  <c:v>2.0106312125362865E-3</c:v>
                </c:pt>
                <c:pt idx="11">
                  <c:v>2.2116943337899151E-3</c:v>
                </c:pt>
                <c:pt idx="12">
                  <c:v>2.4127574550435438E-3</c:v>
                </c:pt>
                <c:pt idx="13">
                  <c:v>2.6138205762971725E-3</c:v>
                </c:pt>
                <c:pt idx="14">
                  <c:v>2.8148836975508012E-3</c:v>
                </c:pt>
                <c:pt idx="15">
                  <c:v>3.0159468188044299E-3</c:v>
                </c:pt>
                <c:pt idx="16">
                  <c:v>3.2170099400580586E-3</c:v>
                </c:pt>
                <c:pt idx="17">
                  <c:v>3.4180730613116873E-3</c:v>
                </c:pt>
                <c:pt idx="18">
                  <c:v>3.619136182565316E-3</c:v>
                </c:pt>
                <c:pt idx="19">
                  <c:v>3.8201993038189446E-3</c:v>
                </c:pt>
                <c:pt idx="20">
                  <c:v>4.0212624250725729E-3</c:v>
                </c:pt>
                <c:pt idx="21">
                  <c:v>4.2223255463262012E-3</c:v>
                </c:pt>
                <c:pt idx="22">
                  <c:v>4.4233886675798294E-3</c:v>
                </c:pt>
                <c:pt idx="23">
                  <c:v>4.6244517888334577E-3</c:v>
                </c:pt>
                <c:pt idx="24">
                  <c:v>4.8255149100870859E-3</c:v>
                </c:pt>
                <c:pt idx="25">
                  <c:v>5.0265780313407142E-3</c:v>
                </c:pt>
              </c:numCache>
            </c:numRef>
          </c:xVal>
          <c:yVal>
            <c:numRef>
              <c:f>'Inv LPF'!$C$17:$C$42</c:f>
              <c:numCache>
                <c:formatCode>General</c:formatCode>
                <c:ptCount val="26"/>
                <c:pt idx="0">
                  <c:v>0</c:v>
                </c:pt>
                <c:pt idx="1">
                  <c:v>0.84432792550201508</c:v>
                </c:pt>
                <c:pt idx="2">
                  <c:v>0.90482705246601947</c:v>
                </c:pt>
                <c:pt idx="3">
                  <c:v>0.12533323356430409</c:v>
                </c:pt>
                <c:pt idx="4">
                  <c:v>-0.77051324277578936</c:v>
                </c:pt>
                <c:pt idx="5">
                  <c:v>-0.95105651629515331</c:v>
                </c:pt>
                <c:pt idx="6">
                  <c:v>-0.24868988716485363</c:v>
                </c:pt>
                <c:pt idx="7">
                  <c:v>0.68454710592868995</c:v>
                </c:pt>
                <c:pt idx="8">
                  <c:v>0.98228725072868828</c:v>
                </c:pt>
                <c:pt idx="9">
                  <c:v>0.36812455268467464</c:v>
                </c:pt>
                <c:pt idx="10">
                  <c:v>-0.58778525229247569</c:v>
                </c:pt>
                <c:pt idx="11">
                  <c:v>-0.99802672842827123</c:v>
                </c:pt>
                <c:pt idx="12">
                  <c:v>-0.48175367410171166</c:v>
                </c:pt>
                <c:pt idx="13">
                  <c:v>0.4817536741017201</c:v>
                </c:pt>
                <c:pt idx="14">
                  <c:v>0.998026728428272</c:v>
                </c:pt>
                <c:pt idx="15">
                  <c:v>0.58778525229246781</c:v>
                </c:pt>
                <c:pt idx="16">
                  <c:v>-0.3681245526846853</c:v>
                </c:pt>
                <c:pt idx="17">
                  <c:v>-0.98228725072869039</c:v>
                </c:pt>
                <c:pt idx="18">
                  <c:v>-0.68454710592868351</c:v>
                </c:pt>
                <c:pt idx="19">
                  <c:v>0.24868988716486301</c:v>
                </c:pt>
                <c:pt idx="20">
                  <c:v>0.95105651629515553</c:v>
                </c:pt>
                <c:pt idx="21">
                  <c:v>0.77051324277578437</c:v>
                </c:pt>
                <c:pt idx="22">
                  <c:v>-0.12533323356430973</c:v>
                </c:pt>
                <c:pt idx="23">
                  <c:v>-0.90482705246602091</c:v>
                </c:pt>
                <c:pt idx="24">
                  <c:v>-0.84432792550201441</c:v>
                </c:pt>
                <c:pt idx="25">
                  <c:v>-9.8011876392689601E-16</c:v>
                </c:pt>
              </c:numCache>
            </c:numRef>
          </c:yVal>
          <c:smooth val="1"/>
          <c:extLst>
            <c:ext xmlns:c16="http://schemas.microsoft.com/office/drawing/2014/chart" uri="{C3380CC4-5D6E-409C-BE32-E72D297353CC}">
              <c16:uniqueId val="{00000000-65E4-4589-9B3C-C0CB7BA2D950}"/>
            </c:ext>
          </c:extLst>
        </c:ser>
        <c:ser>
          <c:idx val="1"/>
          <c:order val="1"/>
          <c:tx>
            <c:strRef>
              <c:f>'Inv LPF'!$E$16</c:f>
              <c:strCache>
                <c:ptCount val="1"/>
                <c:pt idx="0">
                  <c:v>Vout</c:v>
                </c:pt>
              </c:strCache>
            </c:strRef>
          </c:tx>
          <c:spPr>
            <a:ln>
              <a:solidFill>
                <a:srgbClr val="C00000"/>
              </a:solidFill>
              <a:prstDash val="dash"/>
            </a:ln>
          </c:spPr>
          <c:marker>
            <c:symbol val="none"/>
          </c:marker>
          <c:xVal>
            <c:numRef>
              <c:f>'Inv LPF'!$B$17:$B$42</c:f>
              <c:numCache>
                <c:formatCode>General</c:formatCode>
                <c:ptCount val="26"/>
                <c:pt idx="0">
                  <c:v>0</c:v>
                </c:pt>
                <c:pt idx="1">
                  <c:v>2.0106312125362858E-4</c:v>
                </c:pt>
                <c:pt idx="2">
                  <c:v>4.0212624250725716E-4</c:v>
                </c:pt>
                <c:pt idx="3">
                  <c:v>6.0318936376088574E-4</c:v>
                </c:pt>
                <c:pt idx="4">
                  <c:v>8.0425248501451432E-4</c:v>
                </c:pt>
                <c:pt idx="5">
                  <c:v>1.005315606268143E-3</c:v>
                </c:pt>
                <c:pt idx="6">
                  <c:v>1.2063787275217717E-3</c:v>
                </c:pt>
                <c:pt idx="7">
                  <c:v>1.4074418487754004E-3</c:v>
                </c:pt>
                <c:pt idx="8">
                  <c:v>1.6085049700290291E-3</c:v>
                </c:pt>
                <c:pt idx="9">
                  <c:v>1.8095680912826578E-3</c:v>
                </c:pt>
                <c:pt idx="10">
                  <c:v>2.0106312125362865E-3</c:v>
                </c:pt>
                <c:pt idx="11">
                  <c:v>2.2116943337899151E-3</c:v>
                </c:pt>
                <c:pt idx="12">
                  <c:v>2.4127574550435438E-3</c:v>
                </c:pt>
                <c:pt idx="13">
                  <c:v>2.6138205762971725E-3</c:v>
                </c:pt>
                <c:pt idx="14">
                  <c:v>2.8148836975508012E-3</c:v>
                </c:pt>
                <c:pt idx="15">
                  <c:v>3.0159468188044299E-3</c:v>
                </c:pt>
                <c:pt idx="16">
                  <c:v>3.2170099400580586E-3</c:v>
                </c:pt>
                <c:pt idx="17">
                  <c:v>3.4180730613116873E-3</c:v>
                </c:pt>
                <c:pt idx="18">
                  <c:v>3.619136182565316E-3</c:v>
                </c:pt>
                <c:pt idx="19">
                  <c:v>3.8201993038189446E-3</c:v>
                </c:pt>
                <c:pt idx="20">
                  <c:v>4.0212624250725729E-3</c:v>
                </c:pt>
                <c:pt idx="21">
                  <c:v>4.2223255463262012E-3</c:v>
                </c:pt>
                <c:pt idx="22">
                  <c:v>4.4233886675798294E-3</c:v>
                </c:pt>
                <c:pt idx="23">
                  <c:v>4.6244517888334577E-3</c:v>
                </c:pt>
                <c:pt idx="24">
                  <c:v>4.8255149100870859E-3</c:v>
                </c:pt>
                <c:pt idx="25">
                  <c:v>5.0265780313407142E-3</c:v>
                </c:pt>
              </c:numCache>
            </c:numRef>
          </c:xVal>
          <c:yVal>
            <c:numRef>
              <c:f>'Inv LPF'!$E$17:$E$42</c:f>
              <c:numCache>
                <c:formatCode>General</c:formatCode>
                <c:ptCount val="26"/>
                <c:pt idx="0">
                  <c:v>0.99999999998244349</c:v>
                </c:pt>
                <c:pt idx="1">
                  <c:v>-0.30850613371465385</c:v>
                </c:pt>
                <c:pt idx="2">
                  <c:v>-1.330611705701813</c:v>
                </c:pt>
                <c:pt idx="3">
                  <c:v>-1.1174486775408226</c:v>
                </c:pt>
                <c:pt idx="4">
                  <c:v>0.13309381882137816</c:v>
                </c:pt>
                <c:pt idx="5">
                  <c:v>1.2600791462819718</c:v>
                </c:pt>
                <c:pt idx="6">
                  <c:v>1.2172745219228991</c:v>
                </c:pt>
                <c:pt idx="7">
                  <c:v>4.4417465101102019E-2</c:v>
                </c:pt>
                <c:pt idx="8">
                  <c:v>-1.1696743859904692</c:v>
                </c:pt>
                <c:pt idx="9">
                  <c:v>-1.2979032199296978</c:v>
                </c:pt>
                <c:pt idx="10">
                  <c:v>-0.22122825906522905</c:v>
                </c:pt>
                <c:pt idx="11">
                  <c:v>1.0608231619022896</c:v>
                </c:pt>
                <c:pt idx="12">
                  <c:v>1.3580632088284055</c:v>
                </c:pt>
                <c:pt idx="13">
                  <c:v>0.39455015122854142</c:v>
                </c:pt>
                <c:pt idx="14">
                  <c:v>-0.93524212284586894</c:v>
                </c:pt>
                <c:pt idx="15">
                  <c:v>-1.3968057296562517</c:v>
                </c:pt>
                <c:pt idx="16">
                  <c:v>-0.56164975181414412</c:v>
                </c:pt>
                <c:pt idx="17">
                  <c:v>0.79491175682560766</c:v>
                </c:pt>
                <c:pt idx="18">
                  <c:v>1.4135197897161222</c:v>
                </c:pt>
                <c:pt idx="19">
                  <c:v>0.71989180030034339</c:v>
                </c:pt>
                <c:pt idx="20">
                  <c:v>-0.64204515754293368</c:v>
                </c:pt>
                <c:pt idx="21">
                  <c:v>-1.407941798296376</c:v>
                </c:pt>
                <c:pt idx="22">
                  <c:v>-0.86678072505329173</c:v>
                </c:pt>
                <c:pt idx="23">
                  <c:v>0.47905312258662103</c:v>
                </c:pt>
                <c:pt idx="24">
                  <c:v>1.3801597236538325</c:v>
                </c:pt>
                <c:pt idx="25">
                  <c:v>0.99999999998244549</c:v>
                </c:pt>
              </c:numCache>
            </c:numRef>
          </c:yVal>
          <c:smooth val="1"/>
          <c:extLst>
            <c:ext xmlns:c16="http://schemas.microsoft.com/office/drawing/2014/chart" uri="{C3380CC4-5D6E-409C-BE32-E72D297353CC}">
              <c16:uniqueId val="{00000001-65E4-4589-9B3C-C0CB7BA2D950}"/>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LPF'!$C$47:$C$101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6.0202638792053973</c:v>
                </c:pt>
                <c:pt idx="7">
                  <c:v>6.0201610168293831</c:v>
                </c:pt>
                <c:pt idx="8">
                  <c:v>6.0200444424150223</c:v>
                </c:pt>
                <c:pt idx="9">
                  <c:v>6.0199141570665464</c:v>
                </c:pt>
                <c:pt idx="10">
                  <c:v>6.0178575378784256</c:v>
                </c:pt>
                <c:pt idx="11">
                  <c:v>6.0144320020197917</c:v>
                </c:pt>
                <c:pt idx="12">
                  <c:v>6.0096407865156571</c:v>
                </c:pt>
                <c:pt idx="13">
                  <c:v>6.0034884089350413</c:v>
                </c:pt>
                <c:pt idx="14">
                  <c:v>5.9959806532379609</c:v>
                </c:pt>
                <c:pt idx="15">
                  <c:v>5.9871245517386464</c:v>
                </c:pt>
                <c:pt idx="16">
                  <c:v>5.9769283633025516</c:v>
                </c:pt>
                <c:pt idx="17">
                  <c:v>5.9654015479179803</c:v>
                </c:pt>
                <c:pt idx="18">
                  <c:v>5.9525547378051593</c:v>
                </c:pt>
                <c:pt idx="19">
                  <c:v>5.7545912913828703</c:v>
                </c:pt>
                <c:pt idx="20">
                  <c:v>5.4434737880416701</c:v>
                </c:pt>
                <c:pt idx="21">
                  <c:v>5.0422613234634319</c:v>
                </c:pt>
                <c:pt idx="22">
                  <c:v>4.5755297970743385</c:v>
                </c:pt>
                <c:pt idx="23">
                  <c:v>4.0657845492623155</c:v>
                </c:pt>
                <c:pt idx="24">
                  <c:v>3.5316097574915957</c:v>
                </c:pt>
                <c:pt idx="25">
                  <c:v>2.9872405512982825</c:v>
                </c:pt>
                <c:pt idx="26">
                  <c:v>2.4429647102606515</c:v>
                </c:pt>
                <c:pt idx="27">
                  <c:v>1.9058562930049148</c:v>
                </c:pt>
                <c:pt idx="28">
                  <c:v>-2.6224616455237761</c:v>
                </c:pt>
                <c:pt idx="29">
                  <c:v>-5.8013290137645912</c:v>
                </c:pt>
                <c:pt idx="30">
                  <c:v>-8.1733704494618458</c:v>
                </c:pt>
                <c:pt idx="31">
                  <c:v>-10.051635352525894</c:v>
                </c:pt>
                <c:pt idx="32">
                  <c:v>-11.602352741898672</c:v>
                </c:pt>
                <c:pt idx="33">
                  <c:v>-12.921325153077019</c:v>
                </c:pt>
                <c:pt idx="34">
                  <c:v>-14.068157808367296</c:v>
                </c:pt>
                <c:pt idx="35">
                  <c:v>-15.082268631390789</c:v>
                </c:pt>
                <c:pt idx="36">
                  <c:v>-15.991012673110438</c:v>
                </c:pt>
                <c:pt idx="37">
                  <c:v>-21.991067348560698</c:v>
                </c:pt>
                <c:pt idx="38">
                  <c:v>-25.509077166934134</c:v>
                </c:pt>
                <c:pt idx="39">
                  <c:v>-28.006515729867019</c:v>
                </c:pt>
                <c:pt idx="40">
                  <c:v>-29.944097395353239</c:v>
                </c:pt>
                <c:pt idx="41">
                  <c:v>-31.527386252634116</c:v>
                </c:pt>
                <c:pt idx="42">
                  <c:v>-32.866119396883605</c:v>
                </c:pt>
                <c:pt idx="43">
                  <c:v>-34.025826804795287</c:v>
                </c:pt>
                <c:pt idx="44">
                  <c:v>-35.048787073780282</c:v>
                </c:pt>
                <c:pt idx="45">
                  <c:v>-35.963872378648212</c:v>
                </c:pt>
                <c:pt idx="46">
                  <c:v>-41.984266034946046</c:v>
                </c:pt>
                <c:pt idx="47">
                  <c:v>-45.506053019247318</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3516-40C9-AC1E-46813D6CF4FA}"/>
            </c:ext>
          </c:extLst>
        </c:ser>
        <c:ser>
          <c:idx val="1"/>
          <c:order val="1"/>
          <c:tx>
            <c:v>Gain,dB (Xc)</c:v>
          </c:tx>
          <c:spPr>
            <a:ln w="19050" cap="rnd">
              <a:solidFill>
                <a:schemeClr val="accent2"/>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LPF'!$E$47:$E$101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6.0202638792053982</c:v>
                </c:pt>
                <c:pt idx="7">
                  <c:v>6.0201610168293831</c:v>
                </c:pt>
                <c:pt idx="8">
                  <c:v>6.0200444424150232</c:v>
                </c:pt>
                <c:pt idx="9">
                  <c:v>6.0199141570665473</c:v>
                </c:pt>
                <c:pt idx="10">
                  <c:v>6.0178575378784256</c:v>
                </c:pt>
                <c:pt idx="11">
                  <c:v>6.0144320020197926</c:v>
                </c:pt>
                <c:pt idx="12">
                  <c:v>6.0096407865156571</c:v>
                </c:pt>
                <c:pt idx="13">
                  <c:v>6.0034884089350413</c:v>
                </c:pt>
                <c:pt idx="14">
                  <c:v>5.9959806532379591</c:v>
                </c:pt>
                <c:pt idx="15">
                  <c:v>5.9871245517386464</c:v>
                </c:pt>
                <c:pt idx="16">
                  <c:v>5.9769283633025516</c:v>
                </c:pt>
                <c:pt idx="17">
                  <c:v>5.9654015479179794</c:v>
                </c:pt>
                <c:pt idx="18">
                  <c:v>5.9525547378051602</c:v>
                </c:pt>
                <c:pt idx="19">
                  <c:v>5.7545912913828676</c:v>
                </c:pt>
                <c:pt idx="20">
                  <c:v>5.4434737880416701</c:v>
                </c:pt>
                <c:pt idx="21">
                  <c:v>5.0422613234634319</c:v>
                </c:pt>
                <c:pt idx="22">
                  <c:v>4.5755297970743367</c:v>
                </c:pt>
                <c:pt idx="23">
                  <c:v>4.0657845492623146</c:v>
                </c:pt>
                <c:pt idx="24">
                  <c:v>3.5316097574915934</c:v>
                </c:pt>
                <c:pt idx="25">
                  <c:v>2.9872405512982807</c:v>
                </c:pt>
                <c:pt idx="26">
                  <c:v>2.4429647102606515</c:v>
                </c:pt>
                <c:pt idx="27">
                  <c:v>1.9058562930049148</c:v>
                </c:pt>
                <c:pt idx="28">
                  <c:v>-2.6224616455237775</c:v>
                </c:pt>
                <c:pt idx="29">
                  <c:v>-5.8013290137645939</c:v>
                </c:pt>
                <c:pt idx="30">
                  <c:v>-8.1733704494618475</c:v>
                </c:pt>
                <c:pt idx="31">
                  <c:v>-10.051635352525899</c:v>
                </c:pt>
                <c:pt idx="32">
                  <c:v>-11.602352741898674</c:v>
                </c:pt>
                <c:pt idx="33">
                  <c:v>-12.921325153077019</c:v>
                </c:pt>
                <c:pt idx="34">
                  <c:v>-14.068157808367296</c:v>
                </c:pt>
                <c:pt idx="35">
                  <c:v>-15.082268631390791</c:v>
                </c:pt>
                <c:pt idx="36">
                  <c:v>-15.991012673110443</c:v>
                </c:pt>
                <c:pt idx="37">
                  <c:v>-21.991067348560701</c:v>
                </c:pt>
                <c:pt idx="38">
                  <c:v>-25.509077166934141</c:v>
                </c:pt>
                <c:pt idx="39">
                  <c:v>-28.006515729867022</c:v>
                </c:pt>
                <c:pt idx="40">
                  <c:v>-29.944097395353239</c:v>
                </c:pt>
                <c:pt idx="41">
                  <c:v>-31.527386252634116</c:v>
                </c:pt>
                <c:pt idx="42">
                  <c:v>-32.866119396883605</c:v>
                </c:pt>
                <c:pt idx="43">
                  <c:v>-34.025826804795287</c:v>
                </c:pt>
                <c:pt idx="44">
                  <c:v>-35.048787073780289</c:v>
                </c:pt>
                <c:pt idx="45">
                  <c:v>-35.963872378648212</c:v>
                </c:pt>
                <c:pt idx="46">
                  <c:v>-41.984266034946046</c:v>
                </c:pt>
                <c:pt idx="47">
                  <c:v>-45.506053019247325</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6D3F-4A32-AF4B-07C8462698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HPF'!$C$16</c:f>
              <c:strCache>
                <c:ptCount val="1"/>
                <c:pt idx="0">
                  <c:v>Vin(+)</c:v>
                </c:pt>
              </c:strCache>
            </c:strRef>
          </c:tx>
          <c:spPr>
            <a:ln>
              <a:solidFill>
                <a:schemeClr val="tx1"/>
              </a:solidFill>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-0.24868988716485363</c:v>
                </c:pt>
                <c:pt idx="7">
                  <c:v>0.68454710592868995</c:v>
                </c:pt>
                <c:pt idx="8">
                  <c:v>0.98228725072868861</c:v>
                </c:pt>
                <c:pt idx="9">
                  <c:v>0.36812455268467631</c:v>
                </c:pt>
                <c:pt idx="10">
                  <c:v>-0.58778525229247569</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-0.68454710592868351</c:v>
                </c:pt>
                <c:pt idx="19">
                  <c:v>0.24868988716486301</c:v>
                </c:pt>
                <c:pt idx="20">
                  <c:v>0.95105651629515553</c:v>
                </c:pt>
                <c:pt idx="21">
                  <c:v>0.77051324277578437</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ACE6-408F-9C81-D4291DD2CA0C}"/>
            </c:ext>
          </c:extLst>
        </c:ser>
        <c:ser>
          <c:idx val="1"/>
          <c:order val="1"/>
          <c:tx>
            <c:strRef>
              <c:f>'Inv HPF'!$E$16</c:f>
              <c:strCache>
                <c:ptCount val="1"/>
                <c:pt idx="0">
                  <c:v>Vout</c:v>
                </c:pt>
              </c:strCache>
            </c:strRef>
          </c:tx>
          <c:spPr>
            <a:ln>
              <a:solidFill>
                <a:srgbClr val="C00000"/>
              </a:solidFill>
              <a:prstDash val="dash"/>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HPF'!$E$17:$E$42</c:f>
              <c:numCache>
                <c:formatCode>General</c:formatCode>
                <c:ptCount val="26"/>
                <c:pt idx="0">
                  <c:v>-0.50000000000000011</c:v>
                </c:pt>
                <c:pt idx="1">
                  <c:v>-0.69007736024050603</c:v>
                </c:pt>
                <c:pt idx="2">
                  <c:v>-0.23952388045047346</c:v>
                </c:pt>
                <c:pt idx="3">
                  <c:v>0.43339073387508675</c:v>
                </c:pt>
                <c:pt idx="4">
                  <c:v>0.70396861626223961</c:v>
                </c:pt>
                <c:pt idx="5">
                  <c:v>0.32101976096010326</c:v>
                </c:pt>
                <c:pt idx="6">
                  <c:v>-0.35994663698188839</c:v>
                </c:pt>
                <c:pt idx="7">
                  <c:v>-0.70675786667505025</c:v>
                </c:pt>
                <c:pt idx="8">
                  <c:v>-0.39745296807148139</c:v>
                </c:pt>
                <c:pt idx="9">
                  <c:v>0.28082596660178732</c:v>
                </c:pt>
                <c:pt idx="10">
                  <c:v>0.69840112333371074</c:v>
                </c:pt>
                <c:pt idx="11">
                  <c:v>0.46761810444947821</c:v>
                </c:pt>
                <c:pt idx="12">
                  <c:v>-0.19727650297107638</c:v>
                </c:pt>
                <c:pt idx="13">
                  <c:v>-0.67903017707279012</c:v>
                </c:pt>
                <c:pt idx="14">
                  <c:v>-0.53040862397879063</c:v>
                </c:pt>
                <c:pt idx="15">
                  <c:v>0.11061587104123984</c:v>
                </c:pt>
                <c:pt idx="16">
                  <c:v>0.6489505192864663</c:v>
                </c:pt>
                <c:pt idx="17">
                  <c:v>0.58483428265720416</c:v>
                </c:pt>
                <c:pt idx="18">
                  <c:v>-2.2210760746367061E-2</c:v>
                </c:pt>
                <c:pt idx="19">
                  <c:v>-0.60863652414674652</c:v>
                </c:pt>
                <c:pt idx="20">
                  <c:v>-0.63003675533504833</c:v>
                </c:pt>
                <c:pt idx="21">
                  <c:v>-6.6544626513546243E-2</c:v>
                </c:pt>
                <c:pt idx="22">
                  <c:v>0.5587239674393939</c:v>
                </c:pt>
                <c:pt idx="23">
                  <c:v>0.66530317201554434</c:v>
                </c:pt>
                <c:pt idx="24">
                  <c:v>0.15425056526150296</c:v>
                </c:pt>
                <c:pt idx="25">
                  <c:v>-0.50000000000000355</c:v>
                </c:pt>
              </c:numCache>
            </c:numRef>
          </c:yVal>
          <c:smooth val="1"/>
          <c:extLst>
            <c:ext xmlns:c16="http://schemas.microsoft.com/office/drawing/2014/chart" uri="{C3380CC4-5D6E-409C-BE32-E72D297353CC}">
              <c16:uniqueId val="{00000001-ACE6-408F-9C81-D4291DD2CA0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 HPF'!$C$46</c:f>
              <c:strCache>
                <c:ptCount val="1"/>
                <c:pt idx="0">
                  <c:v>Gain,dB</c:v>
                </c:pt>
              </c:strCache>
            </c:strRef>
          </c:tx>
          <c:spPr>
            <a:ln w="19050" cap="rnd">
              <a:solidFill>
                <a:schemeClr val="accent1"/>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HPF'!$C$47:$C$101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9C6C-4DCD-8C26-53550BD1311B}"/>
            </c:ext>
          </c:extLst>
        </c:ser>
        <c:ser>
          <c:idx val="1"/>
          <c:order val="1"/>
          <c:tx>
            <c:strRef>
              <c:f>'Inv HPF'!$E$46</c:f>
              <c:strCache>
                <c:ptCount val="1"/>
                <c:pt idx="0">
                  <c:v>Gain,dB (Xc)</c:v>
                </c:pt>
              </c:strCache>
            </c:strRef>
          </c:tx>
          <c:spPr>
            <a:ln w="19050" cap="rnd">
              <a:solidFill>
                <a:schemeClr val="accent2"/>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HPF'!$E$47:$E$101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-31.997945181679647</c:v>
                </c:pt>
                <c:pt idx="13">
                  <c:v>-30.061286747026472</c:v>
                </c:pt>
                <c:pt idx="14">
                  <c:v>-28.479545536424659</c:v>
                </c:pt>
                <c:pt idx="15">
                  <c:v>-27.142834894090726</c:v>
                </c:pt>
                <c:pt idx="16">
                  <c:v>-25.985562019762796</c:v>
                </c:pt>
                <c:pt idx="17">
                  <c:v>-24.965417946355043</c:v>
                </c:pt>
                <c:pt idx="18">
                  <c:v>-24.053514137182283</c:v>
                </c:pt>
                <c:pt idx="19">
                  <c:v>-18.083847895032541</c:v>
                </c:pt>
                <c:pt idx="20">
                  <c:v>-14.645606805642604</c:v>
                </c:pt>
                <c:pt idx="21">
                  <c:v>-12.261211428175205</c:v>
                </c:pt>
                <c:pt idx="22">
                  <c:v>-10.465778154000844</c:v>
                </c:pt>
                <c:pt idx="23">
                  <c:v>-9.0505037504027825</c:v>
                </c:pt>
                <c:pt idx="24">
                  <c:v>-7.9024631828079475</c:v>
                </c:pt>
                <c:pt idx="25">
                  <c:v>-6.9529414828150191</c:v>
                </c:pt>
                <c:pt idx="26">
                  <c:v>-6.1565520191868082</c:v>
                </c:pt>
                <c:pt idx="27">
                  <c:v>-5.481472749042986</c:v>
                </c:pt>
                <c:pt idx="28">
                  <c:v>-2.1305463398327862</c:v>
                </c:pt>
                <c:pt idx="29">
                  <c:v>-1.0770089688832887</c:v>
                </c:pt>
                <c:pt idx="30">
                  <c:v>-0.6382643650818538</c:v>
                </c:pt>
                <c:pt idx="31">
                  <c:v>-0.41913992851628978</c:v>
                </c:pt>
                <c:pt idx="32">
                  <c:v>-0.29530655220904345</c:v>
                </c:pt>
                <c:pt idx="33">
                  <c:v>-0.21889595054388805</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-3.0547053785901774E-3</c:v>
                </c:pt>
                <c:pt idx="42">
                  <c:v>-2.2444827169850251E-3</c:v>
                </c:pt>
                <c:pt idx="43">
                  <c:v>-1.7185361454735751E-3</c:v>
                </c:pt>
                <c:pt idx="44">
                  <c:v>-1.3579121003459054E-3</c:v>
                </c:pt>
                <c:pt idx="45">
                  <c:v>-1.0999414705593208E-3</c:v>
                </c:pt>
                <c:pt idx="46">
                  <c:v>-2.7501148591282476E-4</c:v>
                </c:pt>
                <c:pt idx="47">
                  <c:v>-1.2222947704761892E-4</c:v>
                </c:pt>
                <c:pt idx="48">
                  <c:v>-6.8754504127915749E-5</c:v>
                </c:pt>
                <c:pt idx="49">
                  <c:v>-4.4003008034778577E-5</c:v>
                </c:pt>
                <c:pt idx="50">
                  <c:v>-3.0557691771004675E-5</c:v>
                </c:pt>
                <c:pt idx="51">
                  <c:v>-2.2450570010109524E-5</c:v>
                </c:pt>
                <c:pt idx="52">
                  <c:v>-1.7188728076390032E-5</c:v>
                </c:pt>
                <c:pt idx="53">
                  <c:v>-1.3581222886256095E-5</c:v>
                </c:pt>
                <c:pt idx="54">
                  <c:v>-1.1000793806930447E-5</c:v>
                </c:pt>
              </c:numCache>
            </c:numRef>
          </c:yVal>
          <c:smooth val="0"/>
          <c:extLst>
            <c:ext xmlns:c16="http://schemas.microsoft.com/office/drawing/2014/chart" uri="{C3380CC4-5D6E-409C-BE32-E72D297353CC}">
              <c16:uniqueId val="{00000000-CB5D-4300-B11F-EB35FE25BF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'InvAmp-BAD'!$C$9</c:f>
              <c:strCache>
                <c:ptCount val="1"/>
                <c:pt idx="0">
                  <c:v>Vin(+)</c:v>
                </c:pt>
              </c:strCache>
            </c:strRef>
          </c:tx>
          <c:spPr>
            <a:ln>
              <a:solidFill>
                <a:schemeClr val="tx1"/>
              </a:solidFill>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24F0-46C2-9D49-CA35529F6F88}"/>
            </c:ext>
          </c:extLst>
        </c:ser>
        <c:ser>
          <c:idx val="1"/>
          <c:order val="1"/>
          <c:tx>
            <c:strRef>
              <c:f>'InvAmp-BAD'!$E$9</c:f>
              <c:strCache>
                <c:ptCount val="1"/>
                <c:pt idx="0">
                  <c:v>Vout</c:v>
                </c:pt>
              </c:strCache>
            </c:strRef>
          </c:tx>
          <c:spPr>
            <a:ln>
              <a:solidFill>
                <a:srgbClr val="C00000"/>
              </a:solidFill>
              <a:prstDash val="dash"/>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'InvAmp-BAD'!$E$10:$E$35</c:f>
              <c:numCache>
                <c:formatCode>General</c:formatCode>
                <c:ptCount val="26"/>
                <c:pt idx="0">
                  <c:v>0.5</c:v>
                </c:pt>
                <c:pt idx="1">
                  <c:v>0.5</c:v>
                </c:pt>
                <c:pt idx="2">
                  <c:v>0.5</c:v>
                </c:pt>
                <c:pt idx="3">
                  <c:v>0.5</c:v>
                </c:pt>
                <c:pt idx="4">
                  <c:v>0.5</c:v>
                </c:pt>
                <c:pt idx="5">
                  <c:v>0.5</c:v>
                </c:pt>
                <c:pt idx="6">
                  <c:v>0.5</c:v>
                </c:pt>
                <c:pt idx="7">
                  <c:v>0.5</c:v>
                </c:pt>
                <c:pt idx="8">
                  <c:v>0.5</c:v>
                </c:pt>
                <c:pt idx="9">
                  <c:v>0.5</c:v>
                </c:pt>
                <c:pt idx="10">
                  <c:v>0.5</c:v>
                </c:pt>
                <c:pt idx="11">
                  <c:v>0.5</c:v>
                </c:pt>
                <c:pt idx="12">
                  <c:v>0.5</c:v>
                </c:pt>
                <c:pt idx="13">
                  <c:v>0.5</c:v>
                </c:pt>
                <c:pt idx="14">
                  <c:v>0.5</c:v>
                </c:pt>
                <c:pt idx="15">
                  <c:v>0.5</c:v>
                </c:pt>
                <c:pt idx="16">
                  <c:v>0.5</c:v>
                </c:pt>
                <c:pt idx="17">
                  <c:v>0.5</c:v>
                </c:pt>
                <c:pt idx="18">
                  <c:v>0.5</c:v>
                </c:pt>
                <c:pt idx="19">
                  <c:v>0.5</c:v>
                </c:pt>
                <c:pt idx="20">
                  <c:v>0.5</c:v>
                </c:pt>
                <c:pt idx="21">
                  <c:v>0.5</c:v>
                </c:pt>
                <c:pt idx="22">
                  <c:v>0.5</c:v>
                </c:pt>
                <c:pt idx="23">
                  <c:v>0.5</c:v>
                </c:pt>
                <c:pt idx="24">
                  <c:v>0.5</c:v>
                </c:pt>
                <c:pt idx="25">
                  <c:v>0.5</c:v>
                </c:pt>
              </c:numCache>
            </c:numRef>
          </c:yVal>
          <c:smooth val="1"/>
          <c:extLst>
            <c:ext xmlns:c16="http://schemas.microsoft.com/office/drawing/2014/chart" uri="{C3380CC4-5D6E-409C-BE32-E72D297353CC}">
              <c16:uniqueId val="{00000001-24F0-46C2-9D49-CA35529F6F8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'Inv+Bias'!$C$9</c:f>
              <c:strCache>
                <c:ptCount val="1"/>
                <c:pt idx="0">
                  <c:v>Vin(+)</c:v>
                </c:pt>
              </c:strCache>
            </c:strRef>
          </c:tx>
          <c:spPr>
            <a:ln>
              <a:solidFill>
                <a:schemeClr val="tx1"/>
              </a:solidFill>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'Inv+Bias'!$C$10:$C$35</c:f>
              <c:numCache>
                <c:formatCode>General</c:formatCode>
                <c:ptCount val="26"/>
                <c:pt idx="0">
                  <c:v>0</c:v>
                </c:pt>
                <c:pt idx="1">
                  <c:v>9.9833416646828155E-3</c:v>
                </c:pt>
                <c:pt idx="2">
                  <c:v>1.9866933079506124E-2</c:v>
                </c:pt>
                <c:pt idx="3">
                  <c:v>9.3203908596722632E-2</c:v>
                </c:pt>
                <c:pt idx="4">
                  <c:v>8.084964038195902E-2</c:v>
                </c:pt>
                <c:pt idx="5">
                  <c:v>-5.8374143427580086E-3</c:v>
                </c:pt>
                <c:pt idx="6">
                  <c:v>-8.7157577241358822E-2</c:v>
                </c:pt>
                <c:pt idx="7">
                  <c:v>-8.8345465572015322E-2</c:v>
                </c:pt>
                <c:pt idx="8">
                  <c:v>-8.30894028174964E-3</c:v>
                </c:pt>
                <c:pt idx="9">
                  <c:v>7.9366786384915317E-2</c:v>
                </c:pt>
                <c:pt idx="10">
                  <c:v>9.4073055667977315E-2</c:v>
                </c:pt>
                <c:pt idx="11">
                  <c:v>2.2288991410024765E-2</c:v>
                </c:pt>
                <c:pt idx="12">
                  <c:v>-6.9987468759354229E-2</c:v>
                </c:pt>
                <c:pt idx="13">
                  <c:v>-9.7917772915131748E-2</c:v>
                </c:pt>
                <c:pt idx="14">
                  <c:v>-3.5822928223682875E-2</c:v>
                </c:pt>
                <c:pt idx="15">
                  <c:v>5.9207351470722307E-2</c:v>
                </c:pt>
                <c:pt idx="16">
                  <c:v>9.9802665271636171E-2</c:v>
                </c:pt>
                <c:pt idx="17">
                  <c:v>4.8639868885379967E-2</c:v>
                </c:pt>
                <c:pt idx="18">
                  <c:v>-4.7242198639846619E-2</c:v>
                </c:pt>
                <c:pt idx="19">
                  <c:v>-9.9690006604159609E-2</c:v>
                </c:pt>
                <c:pt idx="20">
                  <c:v>-6.0483282240628412E-2</c:v>
                </c:pt>
                <c:pt idx="21">
                  <c:v>3.4331492881989542E-2</c:v>
                </c:pt>
                <c:pt idx="22">
                  <c:v>9.7582051776697556E-2</c:v>
                </c:pt>
                <c:pt idx="23">
                  <c:v>7.1116122290598244E-2</c:v>
                </c:pt>
                <c:pt idx="24">
                  <c:v>-2.0733642060675878E-2</c:v>
                </c:pt>
                <c:pt idx="25">
                  <c:v>-9.3520991519453894E-2</c:v>
                </c:pt>
              </c:numCache>
            </c:numRef>
          </c:yVal>
          <c:smooth val="1"/>
          <c:extLst>
            <c:ext xmlns:c16="http://schemas.microsoft.com/office/drawing/2014/chart" uri="{C3380CC4-5D6E-409C-BE32-E72D297353CC}">
              <c16:uniqueId val="{00000000-ECDF-4296-A2C1-2573A94CD30A}"/>
            </c:ext>
          </c:extLst>
        </c:ser>
        <c:ser>
          <c:idx val="1"/>
          <c:order val="1"/>
          <c:tx>
            <c:strRef>
              <c:f>'Inv+Bias'!$E$9</c:f>
              <c:strCache>
                <c:ptCount val="1"/>
                <c:pt idx="0">
                  <c:v>Vout</c:v>
                </c:pt>
              </c:strCache>
            </c:strRef>
          </c:tx>
          <c:spPr>
            <a:ln>
              <a:solidFill>
                <a:srgbClr val="C00000"/>
              </a:solidFill>
              <a:prstDash val="dash"/>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'Inv+Bias'!$E$10:$E$35</c:f>
              <c:numCache>
                <c:formatCode>General</c:formatCode>
                <c:ptCount val="26"/>
                <c:pt idx="0">
                  <c:v>7.5</c:v>
                </c:pt>
                <c:pt idx="1">
                  <c:v>7.4800333166706343</c:v>
                </c:pt>
                <c:pt idx="2">
                  <c:v>7.4602661338409879</c:v>
                </c:pt>
                <c:pt idx="3">
                  <c:v>7.3135921828065547</c:v>
                </c:pt>
                <c:pt idx="4">
                  <c:v>7.3383007192360816</c:v>
                </c:pt>
                <c:pt idx="5">
                  <c:v>7.5116748286855159</c:v>
                </c:pt>
                <c:pt idx="6">
                  <c:v>7.6743151544827173</c:v>
                </c:pt>
                <c:pt idx="7">
                  <c:v>7.676690931144031</c:v>
                </c:pt>
                <c:pt idx="8">
                  <c:v>7.5166178805634996</c:v>
                </c:pt>
                <c:pt idx="9">
                  <c:v>7.3412664272301695</c:v>
                </c:pt>
                <c:pt idx="10">
                  <c:v>7.3118538886640456</c:v>
                </c:pt>
                <c:pt idx="11">
                  <c:v>7.4554220171799503</c:v>
                </c:pt>
                <c:pt idx="12">
                  <c:v>7.6399749375187085</c:v>
                </c:pt>
                <c:pt idx="13">
                  <c:v>7.6958355458302634</c:v>
                </c:pt>
                <c:pt idx="14">
                  <c:v>7.5716458564473657</c:v>
                </c:pt>
                <c:pt idx="15">
                  <c:v>7.3815852970585558</c:v>
                </c:pt>
                <c:pt idx="16">
                  <c:v>7.3003946694567272</c:v>
                </c:pt>
                <c:pt idx="17">
                  <c:v>7.4027202622292396</c:v>
                </c:pt>
                <c:pt idx="18">
                  <c:v>7.5944843972796932</c:v>
                </c:pt>
                <c:pt idx="19">
                  <c:v>7.6993800132083194</c:v>
                </c:pt>
                <c:pt idx="20">
                  <c:v>7.6209665644812565</c:v>
                </c:pt>
                <c:pt idx="21">
                  <c:v>7.4313370142360213</c:v>
                </c:pt>
                <c:pt idx="22">
                  <c:v>7.3048358964466047</c:v>
                </c:pt>
                <c:pt idx="23">
                  <c:v>7.3577677554188039</c:v>
                </c:pt>
                <c:pt idx="24">
                  <c:v>7.5414672841213521</c:v>
                </c:pt>
                <c:pt idx="25">
                  <c:v>7.6870419830389078</c:v>
                </c:pt>
              </c:numCache>
            </c:numRef>
          </c:yVal>
          <c:smooth val="1"/>
          <c:extLst>
            <c:ext xmlns:c16="http://schemas.microsoft.com/office/drawing/2014/chart" uri="{C3380CC4-5D6E-409C-BE32-E72D297353CC}">
              <c16:uniqueId val="{00000001-ECDF-4296-A2C1-2573A94CD30A}"/>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Vhalf'!$C$9</c:f>
              <c:strCache>
                <c:ptCount val="1"/>
                <c:pt idx="0">
                  <c:v>Vin(+)</c:v>
                </c:pt>
              </c:strCache>
            </c:strRef>
          </c:tx>
          <c:spPr>
            <a:ln>
              <a:solidFill>
                <a:schemeClr val="tx1"/>
              </a:solidFill>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E00F-49A1-A949-55FC9B27F82F}"/>
            </c:ext>
          </c:extLst>
        </c:ser>
        <c:ser>
          <c:idx val="1"/>
          <c:order val="1"/>
          <c:tx>
            <c:strRef>
              <c:f>'Inv+Bias Vhalf'!$E$9</c:f>
              <c:strCache>
                <c:ptCount val="1"/>
                <c:pt idx="0">
                  <c:v>Vout</c:v>
                </c:pt>
              </c:strCache>
            </c:strRef>
          </c:tx>
          <c:spPr>
            <a:ln>
              <a:solidFill>
                <a:srgbClr val="C00000"/>
              </a:solidFill>
              <a:prstDash val="dash"/>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Vhalf'!$E$10:$E$35</c:f>
              <c:numCache>
                <c:formatCode>General</c:formatCode>
                <c:ptCount val="26"/>
                <c:pt idx="0">
                  <c:v>2.5</c:v>
                </c:pt>
                <c:pt idx="1">
                  <c:v>2.4500832916765862</c:v>
                </c:pt>
                <c:pt idx="2">
                  <c:v>2.4006653346024702</c:v>
                </c:pt>
                <c:pt idx="3">
                  <c:v>2.0339804570163871</c:v>
                </c:pt>
                <c:pt idx="4">
                  <c:v>2.0957517980902036</c:v>
                </c:pt>
                <c:pt idx="5">
                  <c:v>2.529187071713789</c:v>
                </c:pt>
                <c:pt idx="6">
                  <c:v>2.9357878862067928</c:v>
                </c:pt>
                <c:pt idx="7">
                  <c:v>2.9417273278600771</c:v>
                </c:pt>
                <c:pt idx="8">
                  <c:v>2.5415447014087498</c:v>
                </c:pt>
                <c:pt idx="9">
                  <c:v>2.1031660680754243</c:v>
                </c:pt>
                <c:pt idx="10">
                  <c:v>2.0296347216601145</c:v>
                </c:pt>
                <c:pt idx="11">
                  <c:v>2.388555042949875</c:v>
                </c:pt>
                <c:pt idx="12">
                  <c:v>2.8499373437967712</c:v>
                </c:pt>
                <c:pt idx="13">
                  <c:v>2.9895888645756585</c:v>
                </c:pt>
                <c:pt idx="14">
                  <c:v>2.6791146411184137</c:v>
                </c:pt>
                <c:pt idx="15">
                  <c:v>2.20396324264639</c:v>
                </c:pt>
                <c:pt idx="16">
                  <c:v>2.0009866736418189</c:v>
                </c:pt>
                <c:pt idx="17">
                  <c:v>2.2568006555730982</c:v>
                </c:pt>
                <c:pt idx="18">
                  <c:v>2.7362109931992329</c:v>
                </c:pt>
                <c:pt idx="19">
                  <c:v>2.9984500330207986</c:v>
                </c:pt>
                <c:pt idx="20">
                  <c:v>2.8024164112031418</c:v>
                </c:pt>
                <c:pt idx="21">
                  <c:v>2.3283425355900533</c:v>
                </c:pt>
                <c:pt idx="22">
                  <c:v>2.0120897411165117</c:v>
                </c:pt>
                <c:pt idx="23">
                  <c:v>2.1444193885470106</c:v>
                </c:pt>
                <c:pt idx="24">
                  <c:v>2.6036682103033808</c:v>
                </c:pt>
                <c:pt idx="25">
                  <c:v>2.9676049575972705</c:v>
                </c:pt>
              </c:numCache>
            </c:numRef>
          </c:yVal>
          <c:smooth val="1"/>
          <c:extLst>
            <c:ext xmlns:c16="http://schemas.microsoft.com/office/drawing/2014/chart" uri="{C3380CC4-5D6E-409C-BE32-E72D297353CC}">
              <c16:uniqueId val="{00000001-E00F-49A1-A949-55FC9B27F82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'Inv+Bias - Calculate R'!$C$9</c:f>
              <c:strCache>
                <c:ptCount val="1"/>
                <c:pt idx="0">
                  <c:v>Vin(+)</c:v>
                </c:pt>
              </c:strCache>
            </c:strRef>
          </c:tx>
          <c:spPr>
            <a:ln>
              <a:solidFill>
                <a:schemeClr val="tx1"/>
              </a:solidFill>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R'!$C$10:$C$35</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0-7B3D-4626-BFB7-6C0B2EDA059B}"/>
            </c:ext>
          </c:extLst>
        </c:ser>
        <c:ser>
          <c:idx val="1"/>
          <c:order val="1"/>
          <c:tx>
            <c:strRef>
              <c:f>'Inv+Bias - Calculate R'!$E$9</c:f>
              <c:strCache>
                <c:ptCount val="1"/>
                <c:pt idx="0">
                  <c:v>Vout</c:v>
                </c:pt>
              </c:strCache>
            </c:strRef>
          </c:tx>
          <c:spPr>
            <a:ln>
              <a:solidFill>
                <a:srgbClr val="C00000"/>
              </a:solidFill>
              <a:prstDash val="dash"/>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R'!$E$10:$E$35</c:f>
              <c:numCache>
                <c:formatCode>General</c:formatCode>
                <c:ptCount val="26"/>
                <c:pt idx="0">
                  <c:v>8.5</c:v>
                </c:pt>
                <c:pt idx="1">
                  <c:v>8.2504164583829294</c:v>
                </c:pt>
                <c:pt idx="2">
                  <c:v>8.0033266730123476</c:v>
                </c:pt>
                <c:pt idx="3">
                  <c:v>6.1699022850819345</c:v>
                </c:pt>
                <c:pt idx="4">
                  <c:v>6.4787589904510252</c:v>
                </c:pt>
                <c:pt idx="5">
                  <c:v>8.6459353585689502</c:v>
                </c:pt>
                <c:pt idx="6">
                  <c:v>10.678939431033971</c:v>
                </c:pt>
                <c:pt idx="7">
                  <c:v>10.708636639300384</c:v>
                </c:pt>
                <c:pt idx="8">
                  <c:v>8.7077235070437418</c:v>
                </c:pt>
                <c:pt idx="9">
                  <c:v>6.5158303403771169</c:v>
                </c:pt>
                <c:pt idx="10">
                  <c:v>6.1481736083005671</c:v>
                </c:pt>
                <c:pt idx="11">
                  <c:v>7.9427752147493811</c:v>
                </c:pt>
                <c:pt idx="12">
                  <c:v>10.249686718983856</c:v>
                </c:pt>
                <c:pt idx="13">
                  <c:v>10.947944322878293</c:v>
                </c:pt>
                <c:pt idx="14">
                  <c:v>9.395573205592072</c:v>
                </c:pt>
                <c:pt idx="15">
                  <c:v>7.0198162132319428</c:v>
                </c:pt>
                <c:pt idx="16">
                  <c:v>6.0049333682090955</c:v>
                </c:pt>
                <c:pt idx="17">
                  <c:v>7.2840032778655006</c:v>
                </c:pt>
                <c:pt idx="18">
                  <c:v>9.6810549659961644</c:v>
                </c:pt>
                <c:pt idx="19">
                  <c:v>10.992250165103989</c:v>
                </c:pt>
                <c:pt idx="20">
                  <c:v>10.012082056015711</c:v>
                </c:pt>
                <c:pt idx="21">
                  <c:v>7.6417126779502613</c:v>
                </c:pt>
                <c:pt idx="22">
                  <c:v>6.0604487055825613</c:v>
                </c:pt>
                <c:pt idx="23">
                  <c:v>6.7220969427350443</c:v>
                </c:pt>
                <c:pt idx="24">
                  <c:v>9.0183410515168969</c:v>
                </c:pt>
                <c:pt idx="25">
                  <c:v>10.838024787986347</c:v>
                </c:pt>
              </c:numCache>
            </c:numRef>
          </c:yVal>
          <c:smooth val="1"/>
          <c:extLst>
            <c:ext xmlns:c16="http://schemas.microsoft.com/office/drawing/2014/chart" uri="{C3380CC4-5D6E-409C-BE32-E72D297353CC}">
              <c16:uniqueId val="{00000001-7B3D-4626-BFB7-6C0B2EDA059B}"/>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Comparator!$C$10</c:f>
              <c:strCache>
                <c:ptCount val="1"/>
                <c:pt idx="0">
                  <c:v>Vin(+)</c:v>
                </c:pt>
              </c:strCache>
            </c:strRef>
          </c:tx>
          <c:spPr>
            <a:ln>
              <a:solidFill>
                <a:schemeClr val="tx1"/>
              </a:solidFill>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Comparator!$C$11:$C$64</c:f>
              <c:numCache>
                <c:formatCode>General</c:formatCode>
                <c:ptCount val="54"/>
                <c:pt idx="0">
                  <c:v>1</c:v>
                </c:pt>
                <c:pt idx="1">
                  <c:v>1.479425538604203</c:v>
                </c:pt>
                <c:pt idx="2">
                  <c:v>1.8414709848078965</c:v>
                </c:pt>
                <c:pt idx="3">
                  <c:v>1.9974949866040546</c:v>
                </c:pt>
                <c:pt idx="4">
                  <c:v>1.9092974268256817</c:v>
                </c:pt>
                <c:pt idx="5">
                  <c:v>1.5984721441039564</c:v>
                </c:pt>
                <c:pt idx="6">
                  <c:v>1.1411200080598671</c:v>
                </c:pt>
                <c:pt idx="7">
                  <c:v>0.64921677231038011</c:v>
                </c:pt>
                <c:pt idx="8">
                  <c:v>0.2431975046920718</c:v>
                </c:pt>
                <c:pt idx="9">
                  <c:v>2.2469882334902991E-2</c:v>
                </c:pt>
                <c:pt idx="10">
                  <c:v>4.1075725336861546E-2</c:v>
                </c:pt>
                <c:pt idx="11">
                  <c:v>0.29445967442960808</c:v>
                </c:pt>
                <c:pt idx="12">
                  <c:v>0.72058450180107414</c:v>
                </c:pt>
                <c:pt idx="13">
                  <c:v>1.2151199880878156</c:v>
                </c:pt>
                <c:pt idx="14">
                  <c:v>1.6569865987187891</c:v>
                </c:pt>
                <c:pt idx="15">
                  <c:v>1.9379999767747389</c:v>
                </c:pt>
                <c:pt idx="16">
                  <c:v>1.9893582466233819</c:v>
                </c:pt>
                <c:pt idx="17">
                  <c:v>1.7984871126234903</c:v>
                </c:pt>
                <c:pt idx="18">
                  <c:v>1.4121184852417565</c:v>
                </c:pt>
                <c:pt idx="19">
                  <c:v>0.92484887953819073</c:v>
                </c:pt>
                <c:pt idx="20">
                  <c:v>0.45597888911063023</c:v>
                </c:pt>
                <c:pt idx="21">
                  <c:v>0.12030424002832996</c:v>
                </c:pt>
                <c:pt idx="22">
                  <c:v>9.7934492965245923E-6</c:v>
                </c:pt>
                <c:pt idx="23">
                  <c:v>0.12454782531157149</c:v>
                </c:pt>
                <c:pt idx="24">
                  <c:v>0.46342708199956506</c:v>
                </c:pt>
                <c:pt idx="25">
                  <c:v>0.93367810264879936</c:v>
                </c:pt>
                <c:pt idx="26">
                  <c:v>1.420167036826641</c:v>
                </c:pt>
                <c:pt idx="27">
                  <c:v>1.803784426551621</c:v>
                </c:pt>
                <c:pt idx="28">
                  <c:v>1.9906073556948702</c:v>
                </c:pt>
                <c:pt idx="29">
                  <c:v>1.9348950555246831</c:v>
                </c:pt>
                <c:pt idx="30">
                  <c:v>1.6502878401571168</c:v>
                </c:pt>
                <c:pt idx="31">
                  <c:v>1.2064674819377965</c:v>
                </c:pt>
                <c:pt idx="32">
                  <c:v>0.7120966833349347</c:v>
                </c:pt>
                <c:pt idx="33">
                  <c:v>0.28821465763087695</c:v>
                </c:pt>
                <c:pt idx="34">
                  <c:v>3.8602508120443191E-2</c:v>
                </c:pt>
                <c:pt idx="35">
                  <c:v>2.4373994531842413E-2</c:v>
                </c:pt>
                <c:pt idx="36">
                  <c:v>0.24901275322832395</c:v>
                </c:pt>
                <c:pt idx="37">
                  <c:v>0.65751938153038747</c:v>
                </c:pt>
              </c:numCache>
            </c:numRef>
          </c:yVal>
          <c:smooth val="1"/>
          <c:extLst>
            <c:ext xmlns:c16="http://schemas.microsoft.com/office/drawing/2014/chart" uri="{C3380CC4-5D6E-409C-BE32-E72D297353CC}">
              <c16:uniqueId val="{00000000-8F57-4986-8044-531532EE6A2E}"/>
            </c:ext>
          </c:extLst>
        </c:ser>
        <c:ser>
          <c:idx val="2"/>
          <c:order val="1"/>
          <c:tx>
            <c:strRef>
              <c:f>Comparator!$E$10</c:f>
              <c:strCache>
                <c:ptCount val="1"/>
                <c:pt idx="0">
                  <c:v>Vin(-)</c:v>
                </c:pt>
              </c:strCache>
            </c:strRef>
          </c:tx>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Comparator!$E$11:$E$64</c:f>
              <c:numCache>
                <c:formatCode>General</c:formatCode>
                <c:ptCount val="5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numCache>
            </c:numRef>
          </c:yVal>
          <c:smooth val="1"/>
          <c:extLst>
            <c:ext xmlns:c16="http://schemas.microsoft.com/office/drawing/2014/chart" uri="{C3380CC4-5D6E-409C-BE32-E72D297353CC}">
              <c16:uniqueId val="{00000002-8F57-4986-8044-531532EE6A2E}"/>
            </c:ext>
          </c:extLst>
        </c:ser>
        <c:ser>
          <c:idx val="1"/>
          <c:order val="2"/>
          <c:tx>
            <c:strRef>
              <c:f>Comparator!$D$10</c:f>
              <c:strCache>
                <c:ptCount val="1"/>
                <c:pt idx="0">
                  <c:v>Vout</c:v>
                </c:pt>
              </c:strCache>
            </c:strRef>
          </c:tx>
          <c:spPr>
            <a:ln>
              <a:solidFill>
                <a:srgbClr val="C00000"/>
              </a:solidFill>
              <a:prstDash val="dash"/>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Comparator!$D$11:$D$64</c:f>
              <c:numCache>
                <c:formatCode>General</c:formatCode>
                <c:ptCount val="54"/>
                <c:pt idx="0">
                  <c:v>1.3</c:v>
                </c:pt>
                <c:pt idx="1">
                  <c:v>3.7</c:v>
                </c:pt>
                <c:pt idx="2">
                  <c:v>3.7</c:v>
                </c:pt>
                <c:pt idx="3">
                  <c:v>3.7</c:v>
                </c:pt>
                <c:pt idx="4">
                  <c:v>3.7</c:v>
                </c:pt>
                <c:pt idx="5">
                  <c:v>3.7</c:v>
                </c:pt>
                <c:pt idx="6">
                  <c:v>3.7</c:v>
                </c:pt>
                <c:pt idx="7">
                  <c:v>1.3</c:v>
                </c:pt>
                <c:pt idx="8">
                  <c:v>1.3</c:v>
                </c:pt>
                <c:pt idx="9">
                  <c:v>1.3</c:v>
                </c:pt>
                <c:pt idx="10">
                  <c:v>1.3</c:v>
                </c:pt>
                <c:pt idx="11">
                  <c:v>1.3</c:v>
                </c:pt>
                <c:pt idx="12">
                  <c:v>1.3</c:v>
                </c:pt>
                <c:pt idx="13">
                  <c:v>3.7</c:v>
                </c:pt>
                <c:pt idx="14">
                  <c:v>3.7</c:v>
                </c:pt>
                <c:pt idx="15">
                  <c:v>3.7</c:v>
                </c:pt>
                <c:pt idx="16">
                  <c:v>3.7</c:v>
                </c:pt>
                <c:pt idx="17">
                  <c:v>3.7</c:v>
                </c:pt>
                <c:pt idx="18">
                  <c:v>3.7</c:v>
                </c:pt>
                <c:pt idx="19">
                  <c:v>1.3</c:v>
                </c:pt>
                <c:pt idx="20">
                  <c:v>1.3</c:v>
                </c:pt>
                <c:pt idx="21">
                  <c:v>1.3</c:v>
                </c:pt>
                <c:pt idx="22">
                  <c:v>1.3</c:v>
                </c:pt>
                <c:pt idx="23">
                  <c:v>1.3</c:v>
                </c:pt>
                <c:pt idx="24">
                  <c:v>1.3</c:v>
                </c:pt>
                <c:pt idx="25">
                  <c:v>1.3</c:v>
                </c:pt>
                <c:pt idx="26">
                  <c:v>3.7</c:v>
                </c:pt>
                <c:pt idx="27">
                  <c:v>3.7</c:v>
                </c:pt>
                <c:pt idx="28">
                  <c:v>3.7</c:v>
                </c:pt>
                <c:pt idx="29">
                  <c:v>3.7</c:v>
                </c:pt>
                <c:pt idx="30">
                  <c:v>3.7</c:v>
                </c:pt>
                <c:pt idx="31">
                  <c:v>3.7</c:v>
                </c:pt>
                <c:pt idx="32">
                  <c:v>1.3</c:v>
                </c:pt>
                <c:pt idx="33">
                  <c:v>1.3</c:v>
                </c:pt>
                <c:pt idx="34">
                  <c:v>1.3</c:v>
                </c:pt>
                <c:pt idx="35">
                  <c:v>1.3</c:v>
                </c:pt>
                <c:pt idx="36">
                  <c:v>1.3</c:v>
                </c:pt>
                <c:pt idx="37">
                  <c:v>1.3</c:v>
                </c:pt>
              </c:numCache>
            </c:numRef>
          </c:yVal>
          <c:smooth val="0"/>
          <c:extLst>
            <c:ext xmlns:c16="http://schemas.microsoft.com/office/drawing/2014/chart" uri="{C3380CC4-5D6E-409C-BE32-E72D297353CC}">
              <c16:uniqueId val="{00000001-8F57-4986-8044-531532EE6A2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0855531754150956"/>
          <c:w val="0.20480342464145324"/>
          <c:h val="0.1914446824584903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LPF'!$C$18</c:f>
              <c:strCache>
                <c:ptCount val="1"/>
                <c:pt idx="0">
                  <c:v>Vin(+)</c:v>
                </c:pt>
              </c:strCache>
            </c:strRef>
          </c:tx>
          <c:spPr>
            <a:ln>
              <a:solidFill>
                <a:schemeClr val="tx1"/>
              </a:solidFill>
            </a:ln>
          </c:spPr>
          <c:marker>
            <c:symbol val="none"/>
          </c:marker>
          <c:xVal>
            <c:numRef>
              <c:f>'Inv+Bias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'Inv+Bias LPF'!$C$19:$C$44</c:f>
              <c:numCache>
                <c:formatCode>General</c:formatCode>
                <c:ptCount val="26"/>
                <c:pt idx="0">
                  <c:v>0</c:v>
                </c:pt>
                <c:pt idx="1">
                  <c:v>0.84432792550201496</c:v>
                </c:pt>
                <c:pt idx="2">
                  <c:v>0.90482705246601969</c:v>
                </c:pt>
                <c:pt idx="3">
                  <c:v>0.12533323356430454</c:v>
                </c:pt>
                <c:pt idx="4">
                  <c:v>-0.77051324277578881</c:v>
                </c:pt>
                <c:pt idx="5">
                  <c:v>-0.95105651629515364</c:v>
                </c:pt>
                <c:pt idx="6">
                  <c:v>-0.24868988716485535</c:v>
                </c:pt>
                <c:pt idx="7">
                  <c:v>0.68454710592868795</c:v>
                </c:pt>
                <c:pt idx="8">
                  <c:v>0.98228725072868894</c:v>
                </c:pt>
                <c:pt idx="9">
                  <c:v>0.36812455268467797</c:v>
                </c:pt>
                <c:pt idx="10">
                  <c:v>-0.5877852522924728</c:v>
                </c:pt>
                <c:pt idx="11">
                  <c:v>-0.99802672842827167</c:v>
                </c:pt>
                <c:pt idx="12">
                  <c:v>-0.48175367410171632</c:v>
                </c:pt>
                <c:pt idx="13">
                  <c:v>0.48175367410171543</c:v>
                </c:pt>
                <c:pt idx="14">
                  <c:v>0.99802672842827145</c:v>
                </c:pt>
                <c:pt idx="15">
                  <c:v>0.58778525229247358</c:v>
                </c:pt>
                <c:pt idx="16">
                  <c:v>-0.36812455268467542</c:v>
                </c:pt>
                <c:pt idx="17">
                  <c:v>-0.98228725072868839</c:v>
                </c:pt>
                <c:pt idx="18">
                  <c:v>-0.68454710592869128</c:v>
                </c:pt>
                <c:pt idx="19">
                  <c:v>0.24868988716484924</c:v>
                </c:pt>
                <c:pt idx="20">
                  <c:v>0.95105651629515109</c:v>
                </c:pt>
                <c:pt idx="21">
                  <c:v>0.77051324277579569</c:v>
                </c:pt>
                <c:pt idx="22">
                  <c:v>-0.1253332335642921</c:v>
                </c:pt>
                <c:pt idx="23">
                  <c:v>-0.90482705246601336</c:v>
                </c:pt>
                <c:pt idx="24">
                  <c:v>-0.84432792550202396</c:v>
                </c:pt>
                <c:pt idx="25">
                  <c:v>-1.8743687157929401E-14</c:v>
                </c:pt>
              </c:numCache>
            </c:numRef>
          </c:yVal>
          <c:smooth val="1"/>
          <c:extLst>
            <c:ext xmlns:c16="http://schemas.microsoft.com/office/drawing/2014/chart" uri="{C3380CC4-5D6E-409C-BE32-E72D297353CC}">
              <c16:uniqueId val="{00000000-96B3-4177-9277-A133974583F8}"/>
            </c:ext>
          </c:extLst>
        </c:ser>
        <c:ser>
          <c:idx val="1"/>
          <c:order val="1"/>
          <c:tx>
            <c:strRef>
              <c:f>'Inv+Bias LPF'!$E$18</c:f>
              <c:strCache>
                <c:ptCount val="1"/>
                <c:pt idx="0">
                  <c:v>Vout</c:v>
                </c:pt>
              </c:strCache>
            </c:strRef>
          </c:tx>
          <c:spPr>
            <a:ln>
              <a:solidFill>
                <a:srgbClr val="C00000"/>
              </a:solidFill>
              <a:prstDash val="dash"/>
            </a:ln>
          </c:spPr>
          <c:marker>
            <c:symbol val="none"/>
          </c:marker>
          <c:xVal>
            <c:numRef>
              <c:f>'Inv+Bias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'Inv+Bias LPF'!$E$19:$E$44</c:f>
              <c:numCache>
                <c:formatCode>General</c:formatCode>
                <c:ptCount val="26"/>
                <c:pt idx="0">
                  <c:v>5</c:v>
                </c:pt>
                <c:pt idx="1">
                  <c:v>3.6166630549504668</c:v>
                </c:pt>
                <c:pt idx="2">
                  <c:v>0.45501474060041769</c:v>
                </c:pt>
                <c:pt idx="3">
                  <c:v>-1.1407019840881687</c:v>
                </c:pt>
                <c:pt idx="4">
                  <c:v>0.31089077369334572</c:v>
                </c:pt>
                <c:pt idx="5">
                  <c:v>3.4622120884155176</c:v>
                </c:pt>
                <c:pt idx="6">
                  <c:v>5</c:v>
                </c:pt>
                <c:pt idx="7">
                  <c:v>4.2999261416031089</c:v>
                </c:pt>
                <c:pt idx="8">
                  <c:v>1.2086300461500921</c:v>
                </c:pt>
                <c:pt idx="9">
                  <c:v>-1.016350523101214</c:v>
                </c:pt>
                <c:pt idx="10">
                  <c:v>-0.30946284227313159</c:v>
                </c:pt>
                <c:pt idx="11">
                  <c:v>2.6730564478346581</c:v>
                </c:pt>
                <c:pt idx="12">
                  <c:v>5</c:v>
                </c:pt>
                <c:pt idx="13">
                  <c:v>4.8475869397783518</c:v>
                </c:pt>
                <c:pt idx="14">
                  <c:v>2.0208805658914408</c:v>
                </c:pt>
                <c:pt idx="15">
                  <c:v>-0.693560135850392</c:v>
                </c:pt>
                <c:pt idx="16">
                  <c:v>-0.77579388471320998</c:v>
                </c:pt>
                <c:pt idx="17">
                  <c:v>1.85052072484408</c:v>
                </c:pt>
                <c:pt idx="18">
                  <c:v>4.7472539533980855</c:v>
                </c:pt>
                <c:pt idx="19">
                  <c:v>5</c:v>
                </c:pt>
                <c:pt idx="20">
                  <c:v>2.8407296124206889</c:v>
                </c:pt>
                <c:pt idx="21">
                  <c:v>-0.19261292950665165</c:v>
                </c:pt>
                <c:pt idx="22">
                  <c:v>-1.0588010591847703</c:v>
                </c:pt>
                <c:pt idx="23">
                  <c:v>1.0462878639940107</c:v>
                </c:pt>
                <c:pt idx="24">
                  <c:v>4.1684020953774938</c:v>
                </c:pt>
                <c:pt idx="25">
                  <c:v>5</c:v>
                </c:pt>
              </c:numCache>
            </c:numRef>
          </c:yVal>
          <c:smooth val="1"/>
          <c:extLst>
            <c:ext xmlns:c16="http://schemas.microsoft.com/office/drawing/2014/chart" uri="{C3380CC4-5D6E-409C-BE32-E72D297353CC}">
              <c16:uniqueId val="{00000001-96B3-4177-9277-A133974583F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'Inv+Bias LPF'!$C$48</c:f>
              <c:strCache>
                <c:ptCount val="1"/>
                <c:pt idx="0">
                  <c:v>Gain,dB</c:v>
                </c:pt>
              </c:strCache>
            </c:strRef>
          </c:tx>
          <c:spPr>
            <a:ln w="19050" cap="rnd">
              <a:solidFill>
                <a:srgbClr val="C00000"/>
              </a:solidFill>
              <a:round/>
            </a:ln>
            <a:effectLst/>
          </c:spPr>
          <c:marker>
            <c:symbol val="none"/>
          </c:marker>
          <c:xVal>
            <c:numRef>
              <c:f>'Inv+Bias LPF'!$B$49:$B$103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'Inv+Bias LPF'!$C$49:$C$103</c:f>
              <c:numCache>
                <c:formatCode>General</c:formatCode>
                <c:ptCount val="55"/>
                <c:pt idx="0">
                  <c:v>30.37019645840379</c:v>
                </c:pt>
                <c:pt idx="1">
                  <c:v>30.369949450308052</c:v>
                </c:pt>
                <c:pt idx="2">
                  <c:v>30.369537801365389</c:v>
                </c:pt>
                <c:pt idx="3">
                  <c:v>30.368961558388747</c:v>
                </c:pt>
                <c:pt idx="4">
                  <c:v>30.368220786891385</c:v>
                </c:pt>
                <c:pt idx="5">
                  <c:v>30.367315571062093</c:v>
                </c:pt>
                <c:pt idx="6">
                  <c:v>30.366246013733281</c:v>
                </c:pt>
                <c:pt idx="7">
                  <c:v>30.365012236342114</c:v>
                </c:pt>
                <c:pt idx="8">
                  <c:v>30.363614378884563</c:v>
                </c:pt>
                <c:pt idx="9">
                  <c:v>30.362052599862576</c:v>
                </c:pt>
                <c:pt idx="10">
                  <c:v>30.337467085623985</c:v>
                </c:pt>
                <c:pt idx="11">
                  <c:v>30.296798009215419</c:v>
                </c:pt>
                <c:pt idx="12">
                  <c:v>30.240493624404422</c:v>
                </c:pt>
                <c:pt idx="13">
                  <c:v>30.16915858992185</c:v>
                </c:pt>
                <c:pt idx="14">
                  <c:v>30.083533138337927</c:v>
                </c:pt>
                <c:pt idx="15">
                  <c:v>29.984468951514316</c:v>
                </c:pt>
                <c:pt idx="16">
                  <c:v>29.872903284388698</c:v>
                </c:pt>
                <c:pt idx="17">
                  <c:v>29.749832821878943</c:v>
                </c:pt>
                <c:pt idx="18">
                  <c:v>29.616288570461879</c:v>
                </c:pt>
                <c:pt idx="19">
                  <c:v>27.919154350511036</c:v>
                </c:pt>
                <c:pt idx="20">
                  <c:v>26.04643541115442</c:v>
                </c:pt>
                <c:pt idx="21">
                  <c:v>24.313441719431786</c:v>
                </c:pt>
                <c:pt idx="22">
                  <c:v>22.781260016670398</c:v>
                </c:pt>
                <c:pt idx="23">
                  <c:v>21.435208116564173</c:v>
                </c:pt>
                <c:pt idx="24">
                  <c:v>20.246065716901352</c:v>
                </c:pt>
                <c:pt idx="25">
                  <c:v>19.186288451788137</c:v>
                </c:pt>
                <c:pt idx="26">
                  <c:v>18.233196814567808</c:v>
                </c:pt>
                <c:pt idx="27">
                  <c:v>17.368788622903221</c:v>
                </c:pt>
                <c:pt idx="28">
                  <c:v>11.514524928038911</c:v>
                </c:pt>
                <c:pt idx="29">
                  <c:v>8.0242143030230775</c:v>
                </c:pt>
                <c:pt idx="30">
                  <c:v>5.5365239154444277</c:v>
                </c:pt>
                <c:pt idx="31">
                  <c:v>3.6034637166209924</c:v>
                </c:pt>
                <c:pt idx="32">
                  <c:v>2.0226334797056529</c:v>
                </c:pt>
                <c:pt idx="33">
                  <c:v>0.68538366293710395</c:v>
                </c:pt>
                <c:pt idx="34">
                  <c:v>-0.47336066308539848</c:v>
                </c:pt>
                <c:pt idx="35">
                  <c:v>-1.4956604891527172</c:v>
                </c:pt>
                <c:pt idx="36">
                  <c:v>-2.41027330463531</c:v>
                </c:pt>
                <c:pt idx="37">
                  <c:v>-8.4291557990361436</c:v>
                </c:pt>
                <c:pt idx="38">
                  <c:v>-11.950662865073284</c:v>
                </c:pt>
                <c:pt idx="39">
                  <c:v>-14.449326251457297</c:v>
                </c:pt>
                <c:pt idx="40">
                  <c:v>-16.387474973461437</c:v>
                </c:pt>
                <c:pt idx="41">
                  <c:v>-17.971071898121686</c:v>
                </c:pt>
                <c:pt idx="42">
                  <c:v>-19.309990809765505</c:v>
                </c:pt>
                <c:pt idx="43">
                  <c:v>-20.469818792886336</c:v>
                </c:pt>
                <c:pt idx="44">
                  <c:v>-21.492861730123664</c:v>
                </c:pt>
                <c:pt idx="45">
                  <c:v>-22.408006168247002</c:v>
                </c:pt>
                <c:pt idx="46">
                  <c:v>-28.428588901733214</c:v>
                </c:pt>
                <c:pt idx="47">
                  <c:v>-31.950410901396161</c:v>
                </c:pt>
                <c:pt idx="48">
                  <c:v>-34.449184520053869</c:v>
                </c:pt>
                <c:pt idx="49">
                  <c:v>-36.387384264819637</c:v>
                </c:pt>
                <c:pt idx="50">
                  <c:v>-37.971008905804254</c:v>
                </c:pt>
                <c:pt idx="51">
                  <c:v>-39.309944529604707</c:v>
                </c:pt>
                <c:pt idx="52">
                  <c:v>-40.469783359593087</c:v>
                </c:pt>
                <c:pt idx="53">
                  <c:v>-41.492833733423062</c:v>
                </c:pt>
                <c:pt idx="54">
                  <c:v>-42.407983490905352</c:v>
                </c:pt>
              </c:numCache>
            </c:numRef>
          </c:yVal>
          <c:smooth val="0"/>
          <c:extLst>
            <c:ext xmlns:c16="http://schemas.microsoft.com/office/drawing/2014/chart" uri="{C3380CC4-5D6E-409C-BE32-E72D297353CC}">
              <c16:uniqueId val="{00000000-BE76-4C4F-BF8D-74A9386887E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7768389891171155"/>
          <c:y val="5.7060367454068242E-2"/>
          <c:w val="0.79533334142169065"/>
          <c:h val="0.81030074365704285"/>
        </c:manualLayout>
      </c:layout>
      <c:scatterChart>
        <c:scatterStyle val="smoothMarker"/>
        <c:varyColors val="0"/>
        <c:ser>
          <c:idx val="0"/>
          <c:order val="0"/>
          <c:tx>
            <c:strRef>
              <c:f>'Inv+Bias HPF (AC Amp)'!$C$18</c:f>
              <c:strCache>
                <c:ptCount val="1"/>
                <c:pt idx="0">
                  <c:v>Vin(+)</c:v>
                </c:pt>
              </c:strCache>
            </c:strRef>
          </c:tx>
          <c:spPr>
            <a:ln>
              <a:solidFill>
                <a:schemeClr val="tx1"/>
              </a:solidFill>
            </a:ln>
          </c:spPr>
          <c:marker>
            <c:symbol val="none"/>
          </c:marker>
          <c:xVal>
            <c:numRef>
              <c:f>'Inv+Bias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'Inv+Bias HPF (AC Amp)'!$C$19:$C$44</c:f>
              <c:numCache>
                <c:formatCode>General</c:formatCode>
                <c:ptCount val="26"/>
                <c:pt idx="0">
                  <c:v>0</c:v>
                </c:pt>
                <c:pt idx="1">
                  <c:v>1.6886558510040301E-2</c:v>
                </c:pt>
                <c:pt idx="2">
                  <c:v>1.8096541049320389E-2</c:v>
                </c:pt>
                <c:pt idx="3">
                  <c:v>2.5066646712860819E-3</c:v>
                </c:pt>
                <c:pt idx="4">
                  <c:v>-1.5410264855515788E-2</c:v>
                </c:pt>
                <c:pt idx="5">
                  <c:v>-1.9021130325903073E-2</c:v>
                </c:pt>
                <c:pt idx="6">
                  <c:v>-4.97379774329709E-3</c:v>
                </c:pt>
                <c:pt idx="7">
                  <c:v>1.3690942118573786E-2</c:v>
                </c:pt>
                <c:pt idx="8">
                  <c:v>1.9645745014573772E-2</c:v>
                </c:pt>
                <c:pt idx="9">
                  <c:v>7.3624910536935267E-3</c:v>
                </c:pt>
                <c:pt idx="10">
                  <c:v>-1.1755705045849486E-2</c:v>
                </c:pt>
                <c:pt idx="11">
                  <c:v>-1.9960534568565426E-2</c:v>
                </c:pt>
                <c:pt idx="12">
                  <c:v>-9.6350734820342329E-3</c:v>
                </c:pt>
                <c:pt idx="13">
                  <c:v>9.6350734820343405E-3</c:v>
                </c:pt>
                <c:pt idx="14">
                  <c:v>1.9960534568565436E-2</c:v>
                </c:pt>
                <c:pt idx="15">
                  <c:v>1.1755705045849385E-2</c:v>
                </c:pt>
                <c:pt idx="16">
                  <c:v>-7.3624910536936403E-3</c:v>
                </c:pt>
                <c:pt idx="17">
                  <c:v>-1.9645745014573796E-2</c:v>
                </c:pt>
                <c:pt idx="18">
                  <c:v>-1.3690942118573721E-2</c:v>
                </c:pt>
                <c:pt idx="19">
                  <c:v>4.9737977432971914E-3</c:v>
                </c:pt>
                <c:pt idx="20">
                  <c:v>1.902113032590309E-2</c:v>
                </c:pt>
                <c:pt idx="21">
                  <c:v>1.5410264855515776E-2</c:v>
                </c:pt>
                <c:pt idx="22">
                  <c:v>-2.5066646712860537E-3</c:v>
                </c:pt>
                <c:pt idx="23">
                  <c:v>-1.8096541049320358E-2</c:v>
                </c:pt>
                <c:pt idx="24">
                  <c:v>-1.6886558510040325E-2</c:v>
                </c:pt>
                <c:pt idx="25">
                  <c:v>-9.0656648854547935E-17</c:v>
                </c:pt>
              </c:numCache>
            </c:numRef>
          </c:yVal>
          <c:smooth val="1"/>
          <c:extLst>
            <c:ext xmlns:c16="http://schemas.microsoft.com/office/drawing/2014/chart" uri="{C3380CC4-5D6E-409C-BE32-E72D297353CC}">
              <c16:uniqueId val="{00000000-CE56-4CAB-80BE-EBCE15B999A4}"/>
            </c:ext>
          </c:extLst>
        </c:ser>
        <c:ser>
          <c:idx val="1"/>
          <c:order val="1"/>
          <c:tx>
            <c:strRef>
              <c:f>'Inv+Bias HPF (AC Amp)'!$E$18</c:f>
              <c:strCache>
                <c:ptCount val="1"/>
                <c:pt idx="0">
                  <c:v>Vout</c:v>
                </c:pt>
              </c:strCache>
            </c:strRef>
          </c:tx>
          <c:spPr>
            <a:ln>
              <a:solidFill>
                <a:srgbClr val="C00000"/>
              </a:solidFill>
              <a:prstDash val="dash"/>
            </a:ln>
          </c:spPr>
          <c:marker>
            <c:symbol val="none"/>
          </c:marker>
          <c:xVal>
            <c:numRef>
              <c:f>'Inv+Bias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'Inv+Bias HPF (AC Amp)'!$E$19:$E$44</c:f>
              <c:numCache>
                <c:formatCode>General</c:formatCode>
                <c:ptCount val="26"/>
                <c:pt idx="0">
                  <c:v>1.8602696724163303</c:v>
                </c:pt>
                <c:pt idx="1">
                  <c:v>0.66393744786647391</c:v>
                </c:pt>
                <c:pt idx="2">
                  <c:v>1.1721073022023416</c:v>
                </c:pt>
                <c:pt idx="3">
                  <c:v>2.9130215754596609</c:v>
                </c:pt>
                <c:pt idx="4">
                  <c:v>4.2705087518691105</c:v>
                </c:pt>
                <c:pt idx="5">
                  <c:v>3.9843504845329174</c:v>
                </c:pt>
                <c:pt idx="6">
                  <c:v>2.3202007736364765</c:v>
                </c:pt>
                <c:pt idx="7">
                  <c:v>0.82296702906294317</c:v>
                </c:pt>
                <c:pt idx="8">
                  <c:v>0.88260082258090966</c:v>
                </c:pt>
                <c:pt idx="9">
                  <c:v>2.4437413360607838</c:v>
                </c:pt>
                <c:pt idx="10">
                  <c:v>4.0571093782423908</c:v>
                </c:pt>
                <c:pt idx="11">
                  <c:v>4.2249405190899312</c:v>
                </c:pt>
                <c:pt idx="12">
                  <c:v>2.7914293215043355</c:v>
                </c:pt>
                <c:pt idx="13">
                  <c:v>1.0873707595192141</c:v>
                </c:pt>
                <c:pt idx="14">
                  <c:v>0.69472148165479686</c:v>
                </c:pt>
                <c:pt idx="15">
                  <c:v>1.9779960354221029</c:v>
                </c:pt>
                <c:pt idx="16">
                  <c:v>3.7458710957329915</c:v>
                </c:pt>
                <c:pt idx="17">
                  <c:v>4.3571461969450596</c:v>
                </c:pt>
                <c:pt idx="18">
                  <c:v>3.2443462933000116</c:v>
                </c:pt>
                <c:pt idx="19">
                  <c:v>1.4405351804418267</c:v>
                </c:pt>
                <c:pt idx="20">
                  <c:v>0.62027442938627075</c:v>
                </c:pt>
                <c:pt idx="21">
                  <c:v>1.5450501636741318</c:v>
                </c:pt>
                <c:pt idx="22">
                  <c:v>3.3563501502853108</c:v>
                </c:pt>
                <c:pt idx="23">
                  <c:v>4.3726605491401918</c:v>
                </c:pt>
                <c:pt idx="24">
                  <c:v>3.6504932499734899</c:v>
                </c:pt>
                <c:pt idx="25">
                  <c:v>1.8602696724163414</c:v>
                </c:pt>
              </c:numCache>
            </c:numRef>
          </c:yVal>
          <c:smooth val="1"/>
          <c:extLst>
            <c:ext xmlns:c16="http://schemas.microsoft.com/office/drawing/2014/chart" uri="{C3380CC4-5D6E-409C-BE32-E72D297353CC}">
              <c16:uniqueId val="{00000001-CE56-4CAB-80BE-EBCE15B999A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'Inv+Bias HPF (AC Amp)'!$C$48</c:f>
              <c:strCache>
                <c:ptCount val="1"/>
                <c:pt idx="0">
                  <c:v>Gain,dB</c:v>
                </c:pt>
              </c:strCache>
            </c:strRef>
          </c:tx>
          <c:spPr>
            <a:ln w="19050" cap="rnd">
              <a:solidFill>
                <a:srgbClr val="C00000"/>
              </a:solidFill>
              <a:round/>
            </a:ln>
            <a:effectLst/>
          </c:spPr>
          <c:marker>
            <c:symbol val="none"/>
          </c:marker>
          <c:xVal>
            <c:numRef>
              <c:f>'Inv+Bias HPF (AC Amp)'!$B$49:$B$103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'Inv+Bias HPF (AC Amp)'!$C$49:$C$103</c:f>
              <c:numCache>
                <c:formatCode>General</c:formatCode>
                <c:ptCount val="55"/>
                <c:pt idx="0">
                  <c:v>39.999170248738338</c:v>
                </c:pt>
                <c:pt idx="1">
                  <c:v>39.996681945709696</c:v>
                </c:pt>
                <c:pt idx="2">
                  <c:v>39.992537939554708</c:v>
                </c:pt>
                <c:pt idx="3">
                  <c:v>39.986742965942284</c:v>
                </c:pt>
                <c:pt idx="4">
                  <c:v>39.979303629572662</c:v>
                </c:pt>
                <c:pt idx="5">
                  <c:v>39.970228379182707</c:v>
                </c:pt>
                <c:pt idx="6">
                  <c:v>39.959527475751329</c:v>
                </c:pt>
                <c:pt idx="7">
                  <c:v>39.947212954154679</c:v>
                </c:pt>
                <c:pt idx="8">
                  <c:v>39.933298578569271</c:v>
                </c:pt>
                <c:pt idx="9">
                  <c:v>39.917799791965983</c:v>
                </c:pt>
                <c:pt idx="10">
                  <c:v>39.680141196529661</c:v>
                </c:pt>
                <c:pt idx="11">
                  <c:v>39.310842511356746</c:v>
                </c:pt>
                <c:pt idx="12">
                  <c:v>38.84149655636709</c:v>
                </c:pt>
                <c:pt idx="13">
                  <c:v>38.30417002778325</c:v>
                </c:pt>
                <c:pt idx="14">
                  <c:v>37.726605045347355</c:v>
                </c:pt>
                <c:pt idx="15">
                  <c:v>37.130340492505177</c:v>
                </c:pt>
                <c:pt idx="16">
                  <c:v>36.530833049092898</c:v>
                </c:pt>
                <c:pt idx="17">
                  <c:v>35.938496871559927</c:v>
                </c:pt>
                <c:pt idx="18">
                  <c:v>35.359942863713663</c:v>
                </c:pt>
                <c:pt idx="19">
                  <c:v>30.633343992198029</c:v>
                </c:pt>
                <c:pt idx="20">
                  <c:v>27.400050090226035</c:v>
                </c:pt>
                <c:pt idx="21">
                  <c:v>25.00696714724841</c:v>
                </c:pt>
                <c:pt idx="22">
                  <c:v>23.118571708599177</c:v>
                </c:pt>
                <c:pt idx="23">
                  <c:v>21.562242582247659</c:v>
                </c:pt>
                <c:pt idx="24">
                  <c:v>20.239848585957816</c:v>
                </c:pt>
                <c:pt idx="25">
                  <c:v>19.090779724378923</c:v>
                </c:pt>
                <c:pt idx="26">
                  <c:v>18.075128668584338</c:v>
                </c:pt>
                <c:pt idx="27">
                  <c:v>17.165279344405185</c:v>
                </c:pt>
                <c:pt idx="28">
                  <c:v>11.161670581742626</c:v>
                </c:pt>
                <c:pt idx="29">
                  <c:v>7.6429992180348014</c:v>
                </c:pt>
                <c:pt idx="30">
                  <c:v>5.1453288632624803</c:v>
                </c:pt>
                <c:pt idx="31">
                  <c:v>3.2076398671576607</c:v>
                </c:pt>
                <c:pt idx="32">
                  <c:v>1.6242926951193302</c:v>
                </c:pt>
                <c:pt idx="33">
                  <c:v>0.28552438492694115</c:v>
                </c:pt>
                <c:pt idx="34">
                  <c:v>-0.8742058486381481</c:v>
                </c:pt>
                <c:pt idx="35">
                  <c:v>-1.8971817675455833</c:v>
                </c:pt>
                <c:pt idx="36">
                  <c:v>-2.8122782670750954</c:v>
                </c:pt>
                <c:pt idx="37">
                  <c:v>-8.8327077188683489</c:v>
                </c:pt>
                <c:pt idx="38">
                  <c:v>-12.354501332305812</c:v>
                </c:pt>
                <c:pt idx="39">
                  <c:v>-14.853265015730948</c:v>
                </c:pt>
                <c:pt idx="40">
                  <c:v>-16.791460161893927</c:v>
                </c:pt>
                <c:pt idx="41">
                  <c:v>-18.375082304869601</c:v>
                </c:pt>
                <c:pt idx="42">
                  <c:v>-19.714016422448598</c:v>
                </c:pt>
                <c:pt idx="43">
                  <c:v>-20.873854274840973</c:v>
                </c:pt>
                <c:pt idx="44">
                  <c:v>-21.896903978434192</c:v>
                </c:pt>
                <c:pt idx="45">
                  <c:v>-22.812053256499993</c:v>
                </c:pt>
                <c:pt idx="46">
                  <c:v>-28.832651465109556</c:v>
                </c:pt>
                <c:pt idx="47">
                  <c:v>-32.354476330543463</c:v>
                </c:pt>
                <c:pt idx="48">
                  <c:v>-34.853250952221558</c:v>
                </c:pt>
                <c:pt idx="49">
                  <c:v>-36.791451161242563</c:v>
                </c:pt>
                <c:pt idx="50">
                  <c:v>-38.375076054415246</c:v>
                </c:pt>
                <c:pt idx="51">
                  <c:v>-39.714011830277158</c:v>
                </c:pt>
                <c:pt idx="52">
                  <c:v>-40.873850758959271</c:v>
                </c:pt>
                <c:pt idx="53">
                  <c:v>-41.896901200453343</c:v>
                </c:pt>
                <c:pt idx="54">
                  <c:v>-42.812051006335366</c:v>
                </c:pt>
              </c:numCache>
            </c:numRef>
          </c:yVal>
          <c:smooth val="0"/>
          <c:extLst>
            <c:ext xmlns:c16="http://schemas.microsoft.com/office/drawing/2014/chart" uri="{C3380CC4-5D6E-409C-BE32-E72D297353CC}">
              <c16:uniqueId val="{00000000-E59A-44BB-B8F9-09EB597CD15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NonInv!$C$9</c:f>
              <c:strCache>
                <c:ptCount val="1"/>
                <c:pt idx="0">
                  <c:v>Vin(+)</c:v>
                </c:pt>
              </c:strCache>
            </c:strRef>
          </c:tx>
          <c:spPr>
            <a:ln>
              <a:solidFill>
                <a:schemeClr val="tx1"/>
              </a:solidFill>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0CE7-42C9-B9AE-6759777176AE}"/>
            </c:ext>
          </c:extLst>
        </c:ser>
        <c:ser>
          <c:idx val="1"/>
          <c:order val="1"/>
          <c:tx>
            <c:strRef>
              <c:f>NonInv!$E$9</c:f>
              <c:strCache>
                <c:ptCount val="1"/>
                <c:pt idx="0">
                  <c:v>Vout</c:v>
                </c:pt>
              </c:strCache>
            </c:strRef>
          </c:tx>
          <c:spPr>
            <a:ln>
              <a:solidFill>
                <a:srgbClr val="C00000"/>
              </a:solidFill>
              <a:prstDash val="dash"/>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NonInv!$E$10:$E$35</c:f>
              <c:numCache>
                <c:formatCode>General</c:formatCode>
                <c:ptCount val="26"/>
                <c:pt idx="0">
                  <c:v>1.2</c:v>
                </c:pt>
                <c:pt idx="1">
                  <c:v>1.2</c:v>
                </c:pt>
                <c:pt idx="2">
                  <c:v>1.5893546463604897</c:v>
                </c:pt>
                <c:pt idx="3">
                  <c:v>3.8</c:v>
                </c:pt>
                <c:pt idx="4">
                  <c:v>3.8</c:v>
                </c:pt>
                <c:pt idx="5">
                  <c:v>1.2</c:v>
                </c:pt>
                <c:pt idx="6">
                  <c:v>1.2</c:v>
                </c:pt>
                <c:pt idx="7">
                  <c:v>1.2</c:v>
                </c:pt>
                <c:pt idx="8">
                  <c:v>1.2</c:v>
                </c:pt>
                <c:pt idx="9">
                  <c:v>3.8</c:v>
                </c:pt>
                <c:pt idx="10">
                  <c:v>3.8</c:v>
                </c:pt>
                <c:pt idx="11">
                  <c:v>1.7831193128019811</c:v>
                </c:pt>
                <c:pt idx="12">
                  <c:v>1.2</c:v>
                </c:pt>
                <c:pt idx="13">
                  <c:v>1.2</c:v>
                </c:pt>
                <c:pt idx="14">
                  <c:v>1.2</c:v>
                </c:pt>
                <c:pt idx="15">
                  <c:v>3.8</c:v>
                </c:pt>
                <c:pt idx="16">
                  <c:v>3.8</c:v>
                </c:pt>
                <c:pt idx="17">
                  <c:v>3.8</c:v>
                </c:pt>
                <c:pt idx="18">
                  <c:v>1.2</c:v>
                </c:pt>
                <c:pt idx="19">
                  <c:v>1.2</c:v>
                </c:pt>
                <c:pt idx="20">
                  <c:v>1.2</c:v>
                </c:pt>
                <c:pt idx="21">
                  <c:v>2.7465194305591631</c:v>
                </c:pt>
                <c:pt idx="22">
                  <c:v>3.8</c:v>
                </c:pt>
                <c:pt idx="23">
                  <c:v>3.8</c:v>
                </c:pt>
                <c:pt idx="24">
                  <c:v>1.2</c:v>
                </c:pt>
                <c:pt idx="25">
                  <c:v>1.2</c:v>
                </c:pt>
              </c:numCache>
            </c:numRef>
          </c:yVal>
          <c:smooth val="1"/>
          <c:extLst>
            <c:ext xmlns:c16="http://schemas.microsoft.com/office/drawing/2014/chart" uri="{C3380CC4-5D6E-409C-BE32-E72D297353CC}">
              <c16:uniqueId val="{00000001-0CE7-42C9-B9AE-6759777176A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CMC'!$C$18</c:f>
              <c:strCache>
                <c:ptCount val="1"/>
                <c:pt idx="0">
                  <c:v>Vin(+)</c:v>
                </c:pt>
              </c:strCache>
            </c:strRef>
          </c:tx>
          <c:spPr>
            <a:ln>
              <a:solidFill>
                <a:schemeClr val="tx1"/>
              </a:solidFill>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CMC'!$C$19:$C$44</c:f>
              <c:numCache>
                <c:formatCode>General</c:formatCode>
                <c:ptCount val="26"/>
                <c:pt idx="0">
                  <c:v>0.27180524785821303</c:v>
                </c:pt>
                <c:pt idx="1">
                  <c:v>0.28430216352780469</c:v>
                </c:pt>
                <c:pt idx="2">
                  <c:v>0.29667421414695694</c:v>
                </c:pt>
                <c:pt idx="3">
                  <c:v>0.38847574005723767</c:v>
                </c:pt>
                <c:pt idx="4">
                  <c:v>0.37301095349327673</c:v>
                </c:pt>
                <c:pt idx="5">
                  <c:v>0.26449810790246259</c:v>
                </c:pt>
                <c:pt idx="6">
                  <c:v>0.16270341308836295</c:v>
                </c:pt>
                <c:pt idx="7">
                  <c:v>0.16121644201277391</c:v>
                </c:pt>
                <c:pt idx="8">
                  <c:v>0.26140430902507356</c:v>
                </c:pt>
                <c:pt idx="9">
                  <c:v>0.37115475123417474</c:v>
                </c:pt>
                <c:pt idx="10">
                  <c:v>0.38956371821312574</c:v>
                </c:pt>
                <c:pt idx="11">
                  <c:v>0.29970609061878006</c:v>
                </c:pt>
                <c:pt idx="12">
                  <c:v>0.18419655686169784</c:v>
                </c:pt>
                <c:pt idx="13">
                  <c:v>0.14923404957863298</c:v>
                </c:pt>
                <c:pt idx="14">
                  <c:v>0.22696293672777212</c:v>
                </c:pt>
                <c:pt idx="15">
                  <c:v>0.34591963792932556</c:v>
                </c:pt>
                <c:pt idx="16">
                  <c:v>0.39673591069551961</c:v>
                </c:pt>
                <c:pt idx="17">
                  <c:v>0.33269150819636428</c:v>
                </c:pt>
                <c:pt idx="18">
                  <c:v>0.21266855873368837</c:v>
                </c:pt>
                <c:pt idx="19">
                  <c:v>0.14701560852928577</c:v>
                </c:pt>
                <c:pt idx="20">
                  <c:v>0.19609367722699189</c:v>
                </c:pt>
                <c:pt idx="21">
                  <c:v>0.31478061480124564</c:v>
                </c:pt>
                <c:pt idx="22">
                  <c:v>0.39395619819913408</c:v>
                </c:pt>
                <c:pt idx="23">
                  <c:v>0.36082676118154888</c:v>
                </c:pt>
                <c:pt idx="24">
                  <c:v>0.24585135535823138</c:v>
                </c:pt>
                <c:pt idx="25">
                  <c:v>0.15473783860688933</c:v>
                </c:pt>
              </c:numCache>
            </c:numRef>
          </c:yVal>
          <c:smooth val="1"/>
          <c:extLst>
            <c:ext xmlns:c16="http://schemas.microsoft.com/office/drawing/2014/chart" uri="{C3380CC4-5D6E-409C-BE32-E72D297353CC}">
              <c16:uniqueId val="{00000000-042C-4C13-AFE6-1A092FB73266}"/>
            </c:ext>
          </c:extLst>
        </c:ser>
        <c:ser>
          <c:idx val="1"/>
          <c:order val="1"/>
          <c:tx>
            <c:strRef>
              <c:f>'NonInv CMC'!$E$18</c:f>
              <c:strCache>
                <c:ptCount val="1"/>
                <c:pt idx="0">
                  <c:v>Vout</c:v>
                </c:pt>
              </c:strCache>
            </c:strRef>
          </c:tx>
          <c:spPr>
            <a:ln>
              <a:solidFill>
                <a:srgbClr val="C00000"/>
              </a:solidFill>
              <a:prstDash val="dash"/>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CMC'!$E$19:$E$44</c:f>
              <c:numCache>
                <c:formatCode>General</c:formatCode>
                <c:ptCount val="26"/>
                <c:pt idx="0">
                  <c:v>1.793914635864206</c:v>
                </c:pt>
                <c:pt idx="1">
                  <c:v>1.8763942792835109</c:v>
                </c:pt>
                <c:pt idx="2">
                  <c:v>1.9580498133699158</c:v>
                </c:pt>
                <c:pt idx="3">
                  <c:v>2.5639398843777683</c:v>
                </c:pt>
                <c:pt idx="4">
                  <c:v>2.4618722930556265</c:v>
                </c:pt>
                <c:pt idx="5">
                  <c:v>1.745687512156253</c:v>
                </c:pt>
                <c:pt idx="6">
                  <c:v>1.0738425263831954</c:v>
                </c:pt>
                <c:pt idx="7">
                  <c:v>1.0640285172843078</c:v>
                </c:pt>
                <c:pt idx="8">
                  <c:v>1.7252684395654854</c:v>
                </c:pt>
                <c:pt idx="9">
                  <c:v>2.4496213581455533</c:v>
                </c:pt>
                <c:pt idx="10">
                  <c:v>2.5711205402066297</c:v>
                </c:pt>
                <c:pt idx="11">
                  <c:v>1.9780601980839483</c:v>
                </c:pt>
                <c:pt idx="12">
                  <c:v>1.2156972752872057</c:v>
                </c:pt>
                <c:pt idx="13">
                  <c:v>0.98494472721897763</c:v>
                </c:pt>
                <c:pt idx="14">
                  <c:v>1.4979553824032958</c:v>
                </c:pt>
                <c:pt idx="15">
                  <c:v>2.2830696103335484</c:v>
                </c:pt>
                <c:pt idx="16">
                  <c:v>2.6184570105904292</c:v>
                </c:pt>
                <c:pt idx="17">
                  <c:v>2.1957639540960043</c:v>
                </c:pt>
                <c:pt idx="18">
                  <c:v>1.4036124876423433</c:v>
                </c:pt>
                <c:pt idx="19">
                  <c:v>0.97030301629328608</c:v>
                </c:pt>
                <c:pt idx="20">
                  <c:v>1.2942182696981464</c:v>
                </c:pt>
                <c:pt idx="21">
                  <c:v>2.0775520576882212</c:v>
                </c:pt>
                <c:pt idx="22">
                  <c:v>2.6001109081142846</c:v>
                </c:pt>
                <c:pt idx="23">
                  <c:v>2.3814566237982224</c:v>
                </c:pt>
                <c:pt idx="24">
                  <c:v>1.6226189453643269</c:v>
                </c:pt>
                <c:pt idx="25">
                  <c:v>1.0212697348054696</c:v>
                </c:pt>
              </c:numCache>
            </c:numRef>
          </c:yVal>
          <c:smooth val="1"/>
          <c:extLst>
            <c:ext xmlns:c16="http://schemas.microsoft.com/office/drawing/2014/chart" uri="{C3380CC4-5D6E-409C-BE32-E72D297353CC}">
              <c16:uniqueId val="{00000001-042C-4C13-AFE6-1A092FB73266}"/>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68555986243073286"/>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Vout vs. Rprobe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5899759405074368"/>
          <c:y val="0.13751357859117791"/>
          <c:w val="0.78511351706036736"/>
          <c:h val="0.69166635770293294"/>
        </c:manualLayout>
      </c:layout>
      <c:scatterChart>
        <c:scatterStyle val="lineMarker"/>
        <c:varyColors val="0"/>
        <c:ser>
          <c:idx val="0"/>
          <c:order val="0"/>
          <c:tx>
            <c:strRef>
              <c:f>'NonInv CMC'!$C$48</c:f>
              <c:strCache>
                <c:ptCount val="1"/>
                <c:pt idx="0">
                  <c:v>Vin(+)</c:v>
                </c:pt>
              </c:strCache>
            </c:strRef>
          </c:tx>
          <c:spPr>
            <a:ln w="19050" cap="rnd">
              <a:noFill/>
              <a:round/>
            </a:ln>
            <a:effectLst/>
          </c:spPr>
          <c:marker>
            <c:symbol val="circle"/>
            <c:size val="5"/>
            <c:spPr>
              <a:solidFill>
                <a:schemeClr val="accent1"/>
              </a:solidFill>
              <a:ln w="9525">
                <a:solidFill>
                  <a:schemeClr val="accent1"/>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CMC'!$C$49:$C$74</c:f>
              <c:numCache>
                <c:formatCode>General</c:formatCode>
                <c:ptCount val="26"/>
                <c:pt idx="0">
                  <c:v>0.14662756598240467</c:v>
                </c:pt>
                <c:pt idx="1">
                  <c:v>0.15042208436873866</c:v>
                </c:pt>
                <c:pt idx="2">
                  <c:v>0.15441821393717031</c:v>
                </c:pt>
                <c:pt idx="3">
                  <c:v>0.15863246127781622</c:v>
                </c:pt>
                <c:pt idx="4">
                  <c:v>0.16308318547124517</c:v>
                </c:pt>
                <c:pt idx="5">
                  <c:v>0.16779086546528404</c:v>
                </c:pt>
                <c:pt idx="6">
                  <c:v>0.17277841513815362</c:v>
                </c:pt>
                <c:pt idx="7">
                  <c:v>0.17807155627417323</c:v>
                </c:pt>
                <c:pt idx="8">
                  <c:v>0.18369926226376276</c:v>
                </c:pt>
                <c:pt idx="9">
                  <c:v>0.18969428868435628</c:v>
                </c:pt>
                <c:pt idx="10">
                  <c:v>0.19609381127931605</c:v>
                </c:pt>
                <c:pt idx="11">
                  <c:v>0.20294019758257642</c:v>
                </c:pt>
                <c:pt idx="12">
                  <c:v>0.21028194603324141</c:v>
                </c:pt>
                <c:pt idx="13">
                  <c:v>0.21817483658704742</c:v>
                </c:pt>
                <c:pt idx="14">
                  <c:v>0.22668335056126804</c:v>
                </c:pt>
                <c:pt idx="15">
                  <c:v>0.23588243619380106</c:v>
                </c:pt>
                <c:pt idx="16">
                  <c:v>0.24585972227685779</c:v>
                </c:pt>
                <c:pt idx="17">
                  <c:v>0.25671831839232728</c:v>
                </c:pt>
                <c:pt idx="18">
                  <c:v>0.26858039148277874</c:v>
                </c:pt>
                <c:pt idx="19">
                  <c:v>0.2815917820254335</c:v>
                </c:pt>
                <c:pt idx="20">
                  <c:v>0.29592803030303044</c:v>
                </c:pt>
                <c:pt idx="21">
                  <c:v>0.31180234225919523</c:v>
                </c:pt>
                <c:pt idx="22">
                  <c:v>0.32947626452990347</c:v>
                </c:pt>
                <c:pt idx="23">
                  <c:v>0.34927420819537019</c:v>
                </c:pt>
                <c:pt idx="24">
                  <c:v>0.37160354361139208</c:v>
                </c:pt>
                <c:pt idx="25">
                  <c:v>0.39698292973402172</c:v>
                </c:pt>
              </c:numCache>
            </c:numRef>
          </c:yVal>
          <c:smooth val="0"/>
          <c:extLst>
            <c:ext xmlns:c16="http://schemas.microsoft.com/office/drawing/2014/chart" uri="{C3380CC4-5D6E-409C-BE32-E72D297353CC}">
              <c16:uniqueId val="{00000000-F7F6-46C9-95FE-EDED4FF58BB0}"/>
            </c:ext>
          </c:extLst>
        </c:ser>
        <c:ser>
          <c:idx val="1"/>
          <c:order val="1"/>
          <c:tx>
            <c:strRef>
              <c:f>'NonInv CMC'!$D$48</c:f>
              <c:strCache>
                <c:ptCount val="1"/>
                <c:pt idx="0">
                  <c:v>Vout</c:v>
                </c:pt>
              </c:strCache>
            </c:strRef>
          </c:tx>
          <c:spPr>
            <a:ln w="19050" cap="rnd">
              <a:noFill/>
              <a:round/>
            </a:ln>
            <a:effectLst/>
          </c:spPr>
          <c:marker>
            <c:symbol val="circle"/>
            <c:size val="5"/>
            <c:spPr>
              <a:solidFill>
                <a:schemeClr val="accent2"/>
              </a:solidFill>
              <a:ln w="9525">
                <a:solidFill>
                  <a:schemeClr val="accent2"/>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CMC'!$D$49:$D$74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1-F7F6-46C9-95FE-EDED4FF58BB0}"/>
            </c:ext>
          </c:extLst>
        </c:ser>
        <c:ser>
          <c:idx val="2"/>
          <c:order val="2"/>
          <c:tx>
            <c:strRef>
              <c:f>'NonInv CMC'!$E$48</c:f>
              <c:strCache>
                <c:ptCount val="1"/>
                <c:pt idx="0">
                  <c:v>Vout</c:v>
                </c:pt>
              </c:strCache>
            </c:strRef>
          </c:tx>
          <c:spPr>
            <a:ln w="19050" cap="rnd">
              <a:noFill/>
              <a:round/>
            </a:ln>
            <a:effectLst/>
          </c:spPr>
          <c:marker>
            <c:symbol val="circle"/>
            <c:size val="5"/>
            <c:spPr>
              <a:solidFill>
                <a:schemeClr val="accent3"/>
              </a:solidFill>
              <a:ln w="9525">
                <a:solidFill>
                  <a:schemeClr val="accent3"/>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CMC'!$E$49:$E$74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2-F7F6-46C9-95FE-EDED4FF58BB0}"/>
            </c:ext>
          </c:extLst>
        </c:ser>
        <c:dLbls>
          <c:showLegendKey val="0"/>
          <c:showVal val="0"/>
          <c:showCatName val="0"/>
          <c:showSerName val="0"/>
          <c:showPercent val="0"/>
          <c:showBubbleSize val="0"/>
        </c:dLbls>
        <c:axId val="419771760"/>
        <c:axId val="419777584"/>
      </c:scatterChart>
      <c:valAx>
        <c:axId val="41977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7584"/>
        <c:crosses val="autoZero"/>
        <c:crossBetween val="midCat"/>
      </c:valAx>
      <c:valAx>
        <c:axId val="4197775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baseline="0"/>
                  <a:t>Volts (V)</a:t>
                </a:r>
                <a:endParaRPr lang="en-CA"/>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17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Thermocouple'!$C$18</c:f>
              <c:strCache>
                <c:ptCount val="1"/>
                <c:pt idx="0">
                  <c:v>Vin(+)</c:v>
                </c:pt>
              </c:strCache>
            </c:strRef>
          </c:tx>
          <c:spPr>
            <a:ln>
              <a:solidFill>
                <a:schemeClr val="tx1"/>
              </a:solidFill>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Thermocouple'!$C$19:$C$44</c:f>
              <c:numCache>
                <c:formatCode>General</c:formatCode>
                <c:ptCount val="26"/>
                <c:pt idx="0">
                  <c:v>4.0549999999999999E-4</c:v>
                </c:pt>
                <c:pt idx="1">
                  <c:v>4.851171497758455E-4</c:v>
                </c:pt>
                <c:pt idx="2">
                  <c:v>5.639387913090614E-4</c:v>
                </c:pt>
                <c:pt idx="3">
                  <c:v>1.1488011710588631E-3</c:v>
                </c:pt>
                <c:pt idx="4">
                  <c:v>1.0502758820461232E-3</c:v>
                </c:pt>
                <c:pt idx="5">
                  <c:v>3.5894662061650493E-4</c:v>
                </c:pt>
                <c:pt idx="6">
                  <c:v>-2.8958167849983663E-4</c:v>
                </c:pt>
                <c:pt idx="7">
                  <c:v>-2.9905508793682216E-4</c:v>
                </c:pt>
                <c:pt idx="8">
                  <c:v>3.3923620125304654E-4</c:v>
                </c:pt>
                <c:pt idx="9">
                  <c:v>1.0384501214196998E-3</c:v>
                </c:pt>
                <c:pt idx="10">
                  <c:v>1.1557326189521192E-3</c:v>
                </c:pt>
                <c:pt idx="11">
                  <c:v>5.8325470649494746E-4</c:v>
                </c:pt>
                <c:pt idx="12">
                  <c:v>-1.5265006335585002E-4</c:v>
                </c:pt>
                <c:pt idx="13">
                  <c:v>-3.7539423899817567E-4</c:v>
                </c:pt>
                <c:pt idx="14">
                  <c:v>1.1981214741612912E-4</c:v>
                </c:pt>
                <c:pt idx="15">
                  <c:v>8.776786279790106E-4</c:v>
                </c:pt>
                <c:pt idx="16">
                  <c:v>1.2014262555412986E-3</c:v>
                </c:pt>
                <c:pt idx="17">
                  <c:v>7.9340295436090532E-4</c:v>
                </c:pt>
                <c:pt idx="18">
                  <c:v>2.8743465847223175E-5</c:v>
                </c:pt>
                <c:pt idx="19">
                  <c:v>-3.8952780266817295E-4</c:v>
                </c:pt>
                <c:pt idx="20">
                  <c:v>-7.685417586901158E-5</c:v>
                </c:pt>
                <c:pt idx="21">
                  <c:v>6.792936557338666E-4</c:v>
                </c:pt>
                <c:pt idx="22">
                  <c:v>1.1837168629191632E-3</c:v>
                </c:pt>
                <c:pt idx="23">
                  <c:v>9.7265107526752089E-4</c:v>
                </c:pt>
                <c:pt idx="24">
                  <c:v>2.4014920456610992E-4</c:v>
                </c:pt>
                <c:pt idx="25">
                  <c:v>-3.4032990736764478E-4</c:v>
                </c:pt>
              </c:numCache>
            </c:numRef>
          </c:yVal>
          <c:smooth val="1"/>
          <c:extLst>
            <c:ext xmlns:c16="http://schemas.microsoft.com/office/drawing/2014/chart" uri="{C3380CC4-5D6E-409C-BE32-E72D297353CC}">
              <c16:uniqueId val="{00000000-B8D4-40C5-99BA-3B60717E8A3C}"/>
            </c:ext>
          </c:extLst>
        </c:ser>
        <c:ser>
          <c:idx val="1"/>
          <c:order val="1"/>
          <c:tx>
            <c:strRef>
              <c:f>'NonInv Thermocouple'!$E$18</c:f>
              <c:strCache>
                <c:ptCount val="1"/>
                <c:pt idx="0">
                  <c:v>Vout</c:v>
                </c:pt>
              </c:strCache>
            </c:strRef>
          </c:tx>
          <c:spPr>
            <a:ln>
              <a:solidFill>
                <a:srgbClr val="C00000"/>
              </a:solidFill>
              <a:prstDash val="dash"/>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Thermocouple'!$E$19:$E$44</c:f>
              <c:numCache>
                <c:formatCode>General</c:formatCode>
                <c:ptCount val="26"/>
                <c:pt idx="0">
                  <c:v>0.95590549999999985</c:v>
                </c:pt>
                <c:pt idx="1">
                  <c:v>1.0356022669256213</c:v>
                </c:pt>
                <c:pt idx="2">
                  <c:v>1.1145027301003703</c:v>
                </c:pt>
                <c:pt idx="3">
                  <c:v>1.6999499722299221</c:v>
                </c:pt>
                <c:pt idx="4">
                  <c:v>1.6013261579281695</c:v>
                </c:pt>
                <c:pt idx="5">
                  <c:v>0.9093055672371213</c:v>
                </c:pt>
                <c:pt idx="6">
                  <c:v>0.26012873982166346</c:v>
                </c:pt>
                <c:pt idx="7">
                  <c:v>0.25064585697524094</c:v>
                </c:pt>
                <c:pt idx="8">
                  <c:v>0.88957543745429946</c:v>
                </c:pt>
                <c:pt idx="9">
                  <c:v>1.5894885715411196</c:v>
                </c:pt>
                <c:pt idx="10">
                  <c:v>1.7068883515710711</c:v>
                </c:pt>
                <c:pt idx="11">
                  <c:v>1.1338379612014422</c:v>
                </c:pt>
                <c:pt idx="12">
                  <c:v>0.39719728658079406</c:v>
                </c:pt>
                <c:pt idx="13">
                  <c:v>0.17423036676282611</c:v>
                </c:pt>
                <c:pt idx="14">
                  <c:v>0.66993195956354512</c:v>
                </c:pt>
                <c:pt idx="15">
                  <c:v>1.4285563066069895</c:v>
                </c:pt>
                <c:pt idx="16">
                  <c:v>1.7526276817968398</c:v>
                </c:pt>
                <c:pt idx="17">
                  <c:v>1.3441963573152662</c:v>
                </c:pt>
                <c:pt idx="18">
                  <c:v>0.57877220931307038</c:v>
                </c:pt>
                <c:pt idx="19">
                  <c:v>0.16008266952915884</c:v>
                </c:pt>
                <c:pt idx="20">
                  <c:v>0.47306896995511932</c:v>
                </c:pt>
                <c:pt idx="21">
                  <c:v>1.2299729493896003</c:v>
                </c:pt>
                <c:pt idx="22">
                  <c:v>1.7349005797820825</c:v>
                </c:pt>
                <c:pt idx="23">
                  <c:v>1.5236237263427883</c:v>
                </c:pt>
                <c:pt idx="24">
                  <c:v>0.79038935377067598</c:v>
                </c:pt>
                <c:pt idx="25">
                  <c:v>0.20932976272498749</c:v>
                </c:pt>
              </c:numCache>
            </c:numRef>
          </c:yVal>
          <c:smooth val="1"/>
          <c:extLst>
            <c:ext xmlns:c16="http://schemas.microsoft.com/office/drawing/2014/chart" uri="{C3380CC4-5D6E-409C-BE32-E72D297353CC}">
              <c16:uniqueId val="{00000001-B8D4-40C5-99BA-3B60717E8A3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7130394988472637"/>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K-Type</a:t>
            </a:r>
            <a:r>
              <a:rPr lang="en-CA" baseline="0"/>
              <a:t> Thermocouple - </a:t>
            </a:r>
            <a:r>
              <a:rPr lang="en-CA"/>
              <a:t>Voltage</a:t>
            </a:r>
            <a:r>
              <a:rPr lang="en-CA" baseline="0"/>
              <a:t> vs. Temperature</a:t>
            </a:r>
            <a:endParaRPr lang="en-C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CA"/>
        </a:p>
      </c:txPr>
    </c:title>
    <c:autoTitleDeleted val="0"/>
    <c:plotArea>
      <c:layout>
        <c:manualLayout>
          <c:layoutTarget val="inner"/>
          <c:xMode val="edge"/>
          <c:yMode val="edge"/>
          <c:x val="9.5013998250218709E-2"/>
          <c:y val="0.15782407407407409"/>
          <c:w val="0.8554304461942257"/>
          <c:h val="0.73284667541557313"/>
        </c:manualLayout>
      </c:layout>
      <c:scatterChart>
        <c:scatterStyle val="lineMarker"/>
        <c:varyColors val="0"/>
        <c:ser>
          <c:idx val="0"/>
          <c:order val="0"/>
          <c:tx>
            <c:strRef>
              <c:f>'NonInv Thermocouple'!$Y$5</c:f>
              <c:strCache>
                <c:ptCount val="1"/>
                <c:pt idx="0">
                  <c:v>mV</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31097900262467193"/>
                  <c:y val="7.3657407407407408E-2"/>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'NonInv Thermocouple'!$X$6:$X$26</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'NonInv Thermocouple'!$Y$6:$Y$26</c:f>
              <c:numCache>
                <c:formatCode>General</c:formatCode>
                <c:ptCount val="21"/>
                <c:pt idx="0">
                  <c:v>-3.5539999999999998</c:v>
                </c:pt>
                <c:pt idx="1">
                  <c:v>-3.2429999999999999</c:v>
                </c:pt>
                <c:pt idx="2">
                  <c:v>-2.92</c:v>
                </c:pt>
                <c:pt idx="3">
                  <c:v>-2.5870000000000002</c:v>
                </c:pt>
                <c:pt idx="4">
                  <c:v>-2.2429999999999999</c:v>
                </c:pt>
                <c:pt idx="5">
                  <c:v>-1.889</c:v>
                </c:pt>
                <c:pt idx="6">
                  <c:v>-1.5269999999999999</c:v>
                </c:pt>
                <c:pt idx="7">
                  <c:v>-1.1559999999999999</c:v>
                </c:pt>
                <c:pt idx="8">
                  <c:v>-0.77800000000000002</c:v>
                </c:pt>
                <c:pt idx="9">
                  <c:v>-0.39200000000000002</c:v>
                </c:pt>
                <c:pt idx="10">
                  <c:v>0</c:v>
                </c:pt>
                <c:pt idx="11">
                  <c:v>0.39700000000000002</c:v>
                </c:pt>
                <c:pt idx="12">
                  <c:v>0.79800000000000004</c:v>
                </c:pt>
                <c:pt idx="13">
                  <c:v>1.2030000000000001</c:v>
                </c:pt>
                <c:pt idx="14">
                  <c:v>1.6120000000000001</c:v>
                </c:pt>
                <c:pt idx="15">
                  <c:v>2.0230000000000001</c:v>
                </c:pt>
                <c:pt idx="16">
                  <c:v>2.4359999999999999</c:v>
                </c:pt>
                <c:pt idx="17">
                  <c:v>2.851</c:v>
                </c:pt>
                <c:pt idx="18">
                  <c:v>3.2669999999999999</c:v>
                </c:pt>
                <c:pt idx="19">
                  <c:v>3.6819999999999999</c:v>
                </c:pt>
                <c:pt idx="20">
                  <c:v>4.0960000000000001</c:v>
                </c:pt>
              </c:numCache>
            </c:numRef>
          </c:yVal>
          <c:smooth val="0"/>
          <c:extLst>
            <c:ext xmlns:c16="http://schemas.microsoft.com/office/drawing/2014/chart" uri="{C3380CC4-5D6E-409C-BE32-E72D297353CC}">
              <c16:uniqueId val="{00000000-7EC4-44DF-9D8C-E290876AF42D}"/>
            </c:ext>
          </c:extLst>
        </c:ser>
        <c:dLbls>
          <c:showLegendKey val="0"/>
          <c:showVal val="0"/>
          <c:showCatName val="0"/>
          <c:showSerName val="0"/>
          <c:showPercent val="0"/>
          <c:showBubbleSize val="0"/>
        </c:dLbls>
        <c:axId val="1618852736"/>
        <c:axId val="1618853216"/>
      </c:scatterChart>
      <c:valAx>
        <c:axId val="1618852736"/>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Temperature (</a:t>
                </a:r>
                <a:r>
                  <a:rPr lang="en-CA">
                    <a:sym typeface="Symbol" panose="05050102010706020507" pitchFamily="18" charset="2"/>
                  </a:rPr>
                  <a:t>C)</a:t>
                </a:r>
                <a:endParaRPr lang="en-CA"/>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3216"/>
        <c:crosses val="autoZero"/>
        <c:crossBetween val="midCat"/>
      </c:valAx>
      <c:valAx>
        <c:axId val="16188532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Volts (mV)</a:t>
                </a:r>
              </a:p>
            </c:rich>
          </c:tx>
          <c:layout>
            <c:manualLayout>
              <c:xMode val="edge"/>
              <c:yMode val="edge"/>
              <c:x val="4.1666666666666664E-2"/>
              <c:y val="0.40274278215223097"/>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2736"/>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LPF'!$C$17</c:f>
              <c:strCache>
                <c:ptCount val="1"/>
                <c:pt idx="0">
                  <c:v>Vin(+)</c:v>
                </c:pt>
              </c:strCache>
            </c:strRef>
          </c:tx>
          <c:spPr>
            <a:ln>
              <a:solidFill>
                <a:schemeClr val="tx1"/>
              </a:solidFill>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LPF'!$C$18:$C$43</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80B3-433C-A104-CE80A1C21FC7}"/>
            </c:ext>
          </c:extLst>
        </c:ser>
        <c:ser>
          <c:idx val="1"/>
          <c:order val="1"/>
          <c:tx>
            <c:strRef>
              <c:f>'NonInv LPF'!$E$17</c:f>
              <c:strCache>
                <c:ptCount val="1"/>
                <c:pt idx="0">
                  <c:v>Vout</c:v>
                </c:pt>
              </c:strCache>
            </c:strRef>
          </c:tx>
          <c:spPr>
            <a:ln>
              <a:solidFill>
                <a:srgbClr val="C00000"/>
              </a:solidFill>
              <a:prstDash val="dash"/>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LPF'!$E$18:$E$43</c:f>
              <c:numCache>
                <c:formatCode>General</c:formatCode>
                <c:ptCount val="26"/>
                <c:pt idx="0">
                  <c:v>-0.90095448673677725</c:v>
                </c:pt>
                <c:pt idx="1">
                  <c:v>0.72793774073565276</c:v>
                </c:pt>
                <c:pt idx="2">
                  <c:v>1.6810515798620504</c:v>
                </c:pt>
                <c:pt idx="3">
                  <c:v>1.0735672197280697</c:v>
                </c:pt>
                <c:pt idx="4">
                  <c:v>-0.53055941477924307</c:v>
                </c:pt>
                <c:pt idx="5">
                  <c:v>-1.642143121262257</c:v>
                </c:pt>
                <c:pt idx="6">
                  <c:v>-1.2292491563462806</c:v>
                </c:pt>
                <c:pt idx="7">
                  <c:v>0.32481384991093293</c:v>
                </c:pt>
                <c:pt idx="8">
                  <c:v>1.577337084671407</c:v>
                </c:pt>
                <c:pt idx="9">
                  <c:v>1.3655450994510565</c:v>
                </c:pt>
                <c:pt idx="10">
                  <c:v>-0.11394577659513644</c:v>
                </c:pt>
                <c:pt idx="11">
                  <c:v>-1.487655499999786</c:v>
                </c:pt>
                <c:pt idx="12">
                  <c:v>-1.4803055806003886</c:v>
                </c:pt>
                <c:pt idx="13">
                  <c:v>-9.871928968546996E-2</c:v>
                </c:pt>
                <c:pt idx="14">
                  <c:v>1.3745126994108501</c:v>
                </c:pt>
                <c:pt idx="15">
                  <c:v>1.5717207584519604</c:v>
                </c:pt>
                <c:pt idx="16">
                  <c:v>0.3098274937956913</c:v>
                </c:pt>
                <c:pt idx="17">
                  <c:v>-1.2396930124581187</c:v>
                </c:pt>
                <c:pt idx="18">
                  <c:v>-1.6383489610422735</c:v>
                </c:pt>
                <c:pt idx="19">
                  <c:v>-0.51604953324678404</c:v>
                </c:pt>
                <c:pt idx="20">
                  <c:v>1.0853226261422131</c:v>
                </c:pt>
                <c:pt idx="21">
                  <c:v>1.679139421814722</c:v>
                </c:pt>
                <c:pt idx="22">
                  <c:v>0.71413316328552334</c:v>
                </c:pt>
                <c:pt idx="23">
                  <c:v>-0.91383605367173482</c:v>
                </c:pt>
                <c:pt idx="24">
                  <c:v>-1.6934488508358814</c:v>
                </c:pt>
                <c:pt idx="25">
                  <c:v>-0.90095448673677669</c:v>
                </c:pt>
              </c:numCache>
            </c:numRef>
          </c:yVal>
          <c:smooth val="1"/>
          <c:extLst>
            <c:ext xmlns:c16="http://schemas.microsoft.com/office/drawing/2014/chart" uri="{C3380CC4-5D6E-409C-BE32-E72D297353CC}">
              <c16:uniqueId val="{00000001-80B3-433C-A104-CE80A1C21FC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Buffer!$C$9</c:f>
              <c:strCache>
                <c:ptCount val="1"/>
                <c:pt idx="0">
                  <c:v>Vin(+)</c:v>
                </c:pt>
              </c:strCache>
            </c:strRef>
          </c:tx>
          <c:spPr>
            <a:ln>
              <a:solidFill>
                <a:schemeClr val="tx1"/>
              </a:solidFill>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Buffer!$C$10:$C$35</c:f>
              <c:numCache>
                <c:formatCode>General</c:formatCode>
                <c:ptCount val="26"/>
                <c:pt idx="0">
                  <c:v>0</c:v>
                </c:pt>
                <c:pt idx="1">
                  <c:v>0.59900049988096893</c:v>
                </c:pt>
                <c:pt idx="2">
                  <c:v>1.1920159847703673</c:v>
                </c:pt>
                <c:pt idx="3">
                  <c:v>5.5922345158033577</c:v>
                </c:pt>
                <c:pt idx="4">
                  <c:v>4.8509784229175406</c:v>
                </c:pt>
                <c:pt idx="5">
                  <c:v>-0.35024486056548054</c:v>
                </c:pt>
                <c:pt idx="6">
                  <c:v>-5.2294546344815291</c:v>
                </c:pt>
                <c:pt idx="7">
                  <c:v>-5.3007279343209186</c:v>
                </c:pt>
                <c:pt idx="8">
                  <c:v>-0.49853641690497841</c:v>
                </c:pt>
                <c:pt idx="9">
                  <c:v>4.7620071830949184</c:v>
                </c:pt>
                <c:pt idx="10">
                  <c:v>5.6443833400786385</c:v>
                </c:pt>
                <c:pt idx="11">
                  <c:v>1.3373394846014859</c:v>
                </c:pt>
                <c:pt idx="12">
                  <c:v>-4.1992481255612537</c:v>
                </c:pt>
                <c:pt idx="13">
                  <c:v>-5.8750663749079042</c:v>
                </c:pt>
                <c:pt idx="14">
                  <c:v>-2.1493756934209722</c:v>
                </c:pt>
                <c:pt idx="15">
                  <c:v>3.5524410882433379</c:v>
                </c:pt>
                <c:pt idx="16">
                  <c:v>5.9881599162981702</c:v>
                </c:pt>
                <c:pt idx="17">
                  <c:v>2.918392133122798</c:v>
                </c:pt>
                <c:pt idx="18">
                  <c:v>-2.8345319183907969</c:v>
                </c:pt>
                <c:pt idx="19">
                  <c:v>-5.9814003962495761</c:v>
                </c:pt>
                <c:pt idx="20">
                  <c:v>-3.6289969344377049</c:v>
                </c:pt>
                <c:pt idx="21">
                  <c:v>2.0598895729193725</c:v>
                </c:pt>
                <c:pt idx="22">
                  <c:v>5.854923106601853</c:v>
                </c:pt>
                <c:pt idx="23">
                  <c:v>4.2669673374358945</c:v>
                </c:pt>
                <c:pt idx="24">
                  <c:v>-1.2440185236405528</c:v>
                </c:pt>
                <c:pt idx="25">
                  <c:v>-5.6112594911672335</c:v>
                </c:pt>
              </c:numCache>
            </c:numRef>
          </c:yVal>
          <c:smooth val="1"/>
          <c:extLst>
            <c:ext xmlns:c16="http://schemas.microsoft.com/office/drawing/2014/chart" uri="{C3380CC4-5D6E-409C-BE32-E72D297353CC}">
              <c16:uniqueId val="{00000000-6488-44F0-B5E9-12594E10FCC3}"/>
            </c:ext>
          </c:extLst>
        </c:ser>
        <c:ser>
          <c:idx val="1"/>
          <c:order val="1"/>
          <c:tx>
            <c:strRef>
              <c:f>Buffer!$E$9</c:f>
              <c:strCache>
                <c:ptCount val="1"/>
                <c:pt idx="0">
                  <c:v>Vout</c:v>
                </c:pt>
              </c:strCache>
            </c:strRef>
          </c:tx>
          <c:spPr>
            <a:ln>
              <a:solidFill>
                <a:srgbClr val="C00000"/>
              </a:solidFill>
              <a:prstDash val="dash"/>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Buffer!$E$10:$E$35</c:f>
              <c:numCache>
                <c:formatCode>General</c:formatCode>
                <c:ptCount val="26"/>
                <c:pt idx="0">
                  <c:v>1.3</c:v>
                </c:pt>
                <c:pt idx="1">
                  <c:v>1.3</c:v>
                </c:pt>
                <c:pt idx="2">
                  <c:v>1.3</c:v>
                </c:pt>
                <c:pt idx="3">
                  <c:v>5.3472441603686116</c:v>
                </c:pt>
                <c:pt idx="4">
                  <c:v>5.179256199893242</c:v>
                </c:pt>
                <c:pt idx="5">
                  <c:v>1.3</c:v>
                </c:pt>
                <c:pt idx="6">
                  <c:v>1.3</c:v>
                </c:pt>
                <c:pt idx="7">
                  <c:v>1.3</c:v>
                </c:pt>
                <c:pt idx="8">
                  <c:v>1.3</c:v>
                </c:pt>
                <c:pt idx="9">
                  <c:v>4.3738142407552587</c:v>
                </c:pt>
                <c:pt idx="10">
                  <c:v>5.8193388650705176</c:v>
                </c:pt>
                <c:pt idx="11">
                  <c:v>1.9145901740961127</c:v>
                </c:pt>
                <c:pt idx="12">
                  <c:v>1.3</c:v>
                </c:pt>
                <c:pt idx="13">
                  <c:v>1.3</c:v>
                </c:pt>
                <c:pt idx="14">
                  <c:v>1.3</c:v>
                </c:pt>
                <c:pt idx="15">
                  <c:v>3.0519687862342422</c:v>
                </c:pt>
                <c:pt idx="16">
                  <c:v>5.9958563324875058</c:v>
                </c:pt>
                <c:pt idx="17">
                  <c:v>3.4271812179599319</c:v>
                </c:pt>
                <c:pt idx="18">
                  <c:v>1.3</c:v>
                </c:pt>
                <c:pt idx="19">
                  <c:v>1.3</c:v>
                </c:pt>
                <c:pt idx="20">
                  <c:v>1.3</c:v>
                </c:pt>
                <c:pt idx="21">
                  <c:v>1.4870052478977382</c:v>
                </c:pt>
                <c:pt idx="22">
                  <c:v>5.6947473218873608</c:v>
                </c:pt>
                <c:pt idx="23">
                  <c:v>4.6667649708065699</c:v>
                </c:pt>
                <c:pt idx="24">
                  <c:v>1.3</c:v>
                </c:pt>
                <c:pt idx="25">
                  <c:v>1.3</c:v>
                </c:pt>
              </c:numCache>
            </c:numRef>
          </c:yVal>
          <c:smooth val="1"/>
          <c:extLst>
            <c:ext xmlns:c16="http://schemas.microsoft.com/office/drawing/2014/chart" uri="{C3380CC4-5D6E-409C-BE32-E72D297353CC}">
              <c16:uniqueId val="{00000001-6488-44F0-B5E9-12594E10FCC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v>Gain,dB (Xc)</c:v>
          </c:tx>
          <c:spPr>
            <a:ln w="19050" cap="rnd">
              <a:solidFill>
                <a:schemeClr val="accent2"/>
              </a:solidFill>
              <a:round/>
            </a:ln>
            <a:effectLst/>
          </c:spPr>
          <c:marker>
            <c:symbol val="none"/>
          </c:marker>
          <c:xVal>
            <c:numRef>
              <c:f>'NonInv LPF'!$B$48:$B$102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LPF'!$E$48:$E$102</c:f>
              <c:numCache>
                <c:formatCode>General</c:formatCode>
                <c:ptCount val="55"/>
                <c:pt idx="0">
                  <c:v>6.0205981987540715</c:v>
                </c:pt>
                <c:pt idx="1">
                  <c:v>6.0205930551814699</c:v>
                </c:pt>
                <c:pt idx="2">
                  <c:v>6.0205844825740087</c:v>
                </c:pt>
                <c:pt idx="3">
                  <c:v>6.0205724809519898</c:v>
                </c:pt>
                <c:pt idx="4">
                  <c:v>6.0205570503438448</c:v>
                </c:pt>
                <c:pt idx="5">
                  <c:v>6.0205381907861186</c:v>
                </c:pt>
                <c:pt idx="6">
                  <c:v>6.0205159023234858</c:v>
                </c:pt>
                <c:pt idx="7">
                  <c:v>6.0204901850087378</c:v>
                </c:pt>
                <c:pt idx="8">
                  <c:v>6.0204610389027904</c:v>
                </c:pt>
                <c:pt idx="9">
                  <c:v>6.0204284640746746</c:v>
                </c:pt>
                <c:pt idx="10">
                  <c:v>6.0199141570665446</c:v>
                </c:pt>
                <c:pt idx="11">
                  <c:v>6.0190571140433358</c:v>
                </c:pt>
                <c:pt idx="12">
                  <c:v>6.0178575378784256</c:v>
                </c:pt>
                <c:pt idx="13">
                  <c:v>6.016315712370476</c:v>
                </c:pt>
                <c:pt idx="14">
                  <c:v>6.0144320020197926</c:v>
                </c:pt>
                <c:pt idx="15">
                  <c:v>6.0122068517414604</c:v>
                </c:pt>
                <c:pt idx="16">
                  <c:v>6.0096407865156563</c:v>
                </c:pt>
                <c:pt idx="17">
                  <c:v>6.006734410975783</c:v>
                </c:pt>
                <c:pt idx="18">
                  <c:v>6.0034884089350413</c:v>
                </c:pt>
                <c:pt idx="19">
                  <c:v>5.9525547378051584</c:v>
                </c:pt>
                <c:pt idx="20">
                  <c:v>5.8689706460814692</c:v>
                </c:pt>
                <c:pt idx="21">
                  <c:v>5.7545912913828694</c:v>
                </c:pt>
                <c:pt idx="22">
                  <c:v>5.6118243053961017</c:v>
                </c:pt>
                <c:pt idx="23">
                  <c:v>5.4434737880416684</c:v>
                </c:pt>
                <c:pt idx="24">
                  <c:v>5.2525785630242394</c:v>
                </c:pt>
                <c:pt idx="25">
                  <c:v>5.0422613234634319</c:v>
                </c:pt>
                <c:pt idx="26">
                  <c:v>4.8156003381440184</c:v>
                </c:pt>
                <c:pt idx="27">
                  <c:v>4.5755297970743385</c:v>
                </c:pt>
                <c:pt idx="28">
                  <c:v>1.9058562930049148</c:v>
                </c:pt>
                <c:pt idx="29">
                  <c:v>-0.56243151715921436</c:v>
                </c:pt>
                <c:pt idx="30">
                  <c:v>-2.6224616455237775</c:v>
                </c:pt>
                <c:pt idx="31">
                  <c:v>-4.341537469119344</c:v>
                </c:pt>
                <c:pt idx="32">
                  <c:v>-5.8013290137645912</c:v>
                </c:pt>
                <c:pt idx="33">
                  <c:v>-7.063854204711701</c:v>
                </c:pt>
                <c:pt idx="34">
                  <c:v>-8.1733704494618475</c:v>
                </c:pt>
                <c:pt idx="35">
                  <c:v>-9.161579781507541</c:v>
                </c:pt>
                <c:pt idx="36">
                  <c:v>-10.051635352525896</c:v>
                </c:pt>
                <c:pt idx="37">
                  <c:v>-15.991012673110443</c:v>
                </c:pt>
                <c:pt idx="38">
                  <c:v>-19.497628499345527</c:v>
                </c:pt>
                <c:pt idx="39">
                  <c:v>-21.991067348560701</c:v>
                </c:pt>
                <c:pt idx="40">
                  <c:v>-23.926795635973551</c:v>
                </c:pt>
                <c:pt idx="41">
                  <c:v>-25.509077166934141</c:v>
                </c:pt>
                <c:pt idx="42">
                  <c:v>-26.8472027368848</c:v>
                </c:pt>
                <c:pt idx="43">
                  <c:v>-28.006515729867022</c:v>
                </c:pt>
                <c:pt idx="44">
                  <c:v>-29.029205554769518</c:v>
                </c:pt>
                <c:pt idx="45">
                  <c:v>-29.944097395353239</c:v>
                </c:pt>
                <c:pt idx="46">
                  <c:v>-35.963872378648212</c:v>
                </c:pt>
                <c:pt idx="47">
                  <c:v>-39.48554477775297</c:v>
                </c:pt>
                <c:pt idx="48">
                  <c:v>-41.984266034946046</c:v>
                </c:pt>
                <c:pt idx="49">
                  <c:v>-43.922441543611086</c:v>
                </c:pt>
                <c:pt idx="50">
                  <c:v>-45.506053019247325</c:v>
                </c:pt>
                <c:pt idx="51">
                  <c:v>-46.844980704737821</c:v>
                </c:pt>
                <c:pt idx="52">
                  <c:v>-48.004814382449624</c:v>
                </c:pt>
                <c:pt idx="53">
                  <c:v>-49.02786122389206</c:v>
                </c:pt>
                <c:pt idx="54">
                  <c:v>-49.94300845467648</c:v>
                </c:pt>
              </c:numCache>
            </c:numRef>
          </c:yVal>
          <c:smooth val="0"/>
          <c:extLst>
            <c:ext xmlns:c16="http://schemas.microsoft.com/office/drawing/2014/chart" uri="{C3380CC4-5D6E-409C-BE32-E72D297353CC}">
              <c16:uniqueId val="{00000000-CAE7-4297-A9D3-C36CB388538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LPF2'!$C$16</c:f>
              <c:strCache>
                <c:ptCount val="1"/>
                <c:pt idx="0">
                  <c:v>Vin(+)</c:v>
                </c:pt>
              </c:strCache>
            </c:strRef>
          </c:tx>
          <c:spPr>
            <a:ln>
              <a:solidFill>
                <a:schemeClr val="tx1"/>
              </a:solidFill>
            </a:ln>
          </c:spPr>
          <c:marker>
            <c:symbol val="none"/>
          </c:marker>
          <c:xVal>
            <c:numRef>
              <c:f>'NonInv LPF2'!$B$17:$B$42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LPF2'!$C$17:$C$42</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E657-46BD-978F-CB64FBED033E}"/>
            </c:ext>
          </c:extLst>
        </c:ser>
        <c:ser>
          <c:idx val="1"/>
          <c:order val="1"/>
          <c:tx>
            <c:strRef>
              <c:f>'NonInv LPF2'!$E$16</c:f>
              <c:strCache>
                <c:ptCount val="1"/>
                <c:pt idx="0">
                  <c:v>Vout</c:v>
                </c:pt>
              </c:strCache>
            </c:strRef>
          </c:tx>
          <c:spPr>
            <a:ln>
              <a:solidFill>
                <a:srgbClr val="C00000"/>
              </a:solidFill>
              <a:prstDash val="dash"/>
            </a:ln>
          </c:spPr>
          <c:marker>
            <c:symbol val="none"/>
          </c:marker>
          <c:xVal>
            <c:numRef>
              <c:f>'NonInv LPF2'!$B$17:$B$42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LPF2'!$E$17:$E$42</c:f>
              <c:numCache>
                <c:formatCode>General</c:formatCode>
                <c:ptCount val="26"/>
                <c:pt idx="0">
                  <c:v>-0.90095448673677725</c:v>
                </c:pt>
                <c:pt idx="1">
                  <c:v>0.72793774073565276</c:v>
                </c:pt>
                <c:pt idx="2">
                  <c:v>1.6810515798620504</c:v>
                </c:pt>
                <c:pt idx="3">
                  <c:v>1.0735672197280697</c:v>
                </c:pt>
                <c:pt idx="4">
                  <c:v>-0.53055941477924307</c:v>
                </c:pt>
                <c:pt idx="5">
                  <c:v>-1.642143121262257</c:v>
                </c:pt>
                <c:pt idx="6">
                  <c:v>-1.2292491563462806</c:v>
                </c:pt>
                <c:pt idx="7">
                  <c:v>0.32481384991093293</c:v>
                </c:pt>
                <c:pt idx="8">
                  <c:v>1.577337084671407</c:v>
                </c:pt>
                <c:pt idx="9">
                  <c:v>1.3655450994510565</c:v>
                </c:pt>
                <c:pt idx="10">
                  <c:v>-0.11394577659513644</c:v>
                </c:pt>
                <c:pt idx="11">
                  <c:v>-1.487655499999786</c:v>
                </c:pt>
                <c:pt idx="12">
                  <c:v>-1.4803055806003886</c:v>
                </c:pt>
                <c:pt idx="13">
                  <c:v>-9.871928968546996E-2</c:v>
                </c:pt>
                <c:pt idx="14">
                  <c:v>1.3745126994108501</c:v>
                </c:pt>
                <c:pt idx="15">
                  <c:v>1.5717207584519604</c:v>
                </c:pt>
                <c:pt idx="16">
                  <c:v>0.3098274937956913</c:v>
                </c:pt>
                <c:pt idx="17">
                  <c:v>-1.2396930124581187</c:v>
                </c:pt>
                <c:pt idx="18">
                  <c:v>-1.6383489610422735</c:v>
                </c:pt>
                <c:pt idx="19">
                  <c:v>-0.51604953324678404</c:v>
                </c:pt>
                <c:pt idx="20">
                  <c:v>1.0853226261422131</c:v>
                </c:pt>
                <c:pt idx="21">
                  <c:v>1.679139421814722</c:v>
                </c:pt>
                <c:pt idx="22">
                  <c:v>0.71413316328552334</c:v>
                </c:pt>
                <c:pt idx="23">
                  <c:v>-0.91383605367173482</c:v>
                </c:pt>
                <c:pt idx="24">
                  <c:v>-1.6934488508358814</c:v>
                </c:pt>
                <c:pt idx="25">
                  <c:v>-0.90095448673677669</c:v>
                </c:pt>
              </c:numCache>
            </c:numRef>
          </c:yVal>
          <c:smooth val="1"/>
          <c:extLst>
            <c:ext xmlns:c16="http://schemas.microsoft.com/office/drawing/2014/chart" uri="{C3380CC4-5D6E-409C-BE32-E72D297353CC}">
              <c16:uniqueId val="{00000001-E657-46BD-978F-CB64FBED033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'NonInv LPF2'!$C$46</c:f>
              <c:strCache>
                <c:ptCount val="1"/>
                <c:pt idx="0">
                  <c:v>Gain,dB</c:v>
                </c:pt>
              </c:strCache>
            </c:strRef>
          </c:tx>
          <c:spPr>
            <a:ln w="19050" cap="rnd">
              <a:solidFill>
                <a:schemeClr val="accent1"/>
              </a:solidFill>
              <a:round/>
            </a:ln>
            <a:effectLst/>
          </c:spPr>
          <c:marker>
            <c:symbol val="none"/>
          </c:marker>
          <c:xVal>
            <c:numRef>
              <c:f>'NonInv LPF2'!$B$47:$B$101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LPF2'!$C$47:$C$101</c:f>
              <c:numCache>
                <c:formatCode>General</c:formatCode>
                <c:ptCount val="55"/>
                <c:pt idx="0">
                  <c:v>6.0205990560168896</c:v>
                </c:pt>
                <c:pt idx="1">
                  <c:v>6.0205964842312252</c:v>
                </c:pt>
                <c:pt idx="2">
                  <c:v>6.0205921979302435</c:v>
                </c:pt>
                <c:pt idx="3">
                  <c:v>6.0205861971266375</c:v>
                </c:pt>
                <c:pt idx="4">
                  <c:v>6.0205784818381751</c:v>
                </c:pt>
                <c:pt idx="5">
                  <c:v>6.020569052087696</c:v>
                </c:pt>
                <c:pt idx="6">
                  <c:v>6.0205579079031253</c:v>
                </c:pt>
                <c:pt idx="7">
                  <c:v>6.0205450493174553</c:v>
                </c:pt>
                <c:pt idx="8">
                  <c:v>6.0205304763687559</c:v>
                </c:pt>
                <c:pt idx="9">
                  <c:v>6.0205141891001759</c:v>
                </c:pt>
                <c:pt idx="10">
                  <c:v>6.0202570419406936</c:v>
                </c:pt>
                <c:pt idx="11">
                  <c:v>6.0198285479157354</c:v>
                </c:pt>
                <c:pt idx="12">
                  <c:v>6.0192288338094873</c:v>
                </c:pt>
                <c:pt idx="13">
                  <c:v>6.0184580769657705</c:v>
                </c:pt>
                <c:pt idx="14">
                  <c:v>6.0175165051343367</c:v>
                </c:pt>
                <c:pt idx="15">
                  <c:v>6.0164043962736988</c:v>
                </c:pt>
                <c:pt idx="16">
                  <c:v>6.0151220783108545</c:v>
                </c:pt>
                <c:pt idx="17">
                  <c:v>6.0136699288583104</c:v>
                </c:pt>
                <c:pt idx="18">
                  <c:v>6.0120483748889058</c:v>
                </c:pt>
                <c:pt idx="19">
                  <c:v>5.9866439585278766</c:v>
                </c:pt>
                <c:pt idx="20">
                  <c:v>5.9451161488214179</c:v>
                </c:pt>
                <c:pt idx="21">
                  <c:v>5.8886138892416851</c:v>
                </c:pt>
                <c:pt idx="22">
                  <c:v>5.8186166137450552</c:v>
                </c:pt>
                <c:pt idx="23">
                  <c:v>5.7368292974768682</c:v>
                </c:pt>
                <c:pt idx="24">
                  <c:v>5.6450751958862018</c:v>
                </c:pt>
                <c:pt idx="25">
                  <c:v>5.5451977870625671</c:v>
                </c:pt>
                <c:pt idx="26">
                  <c:v>5.4389796946676974</c:v>
                </c:pt>
                <c:pt idx="27">
                  <c:v>5.3280822718334377</c:v>
                </c:pt>
                <c:pt idx="28">
                  <c:v>4.2046415681447904</c:v>
                </c:pt>
                <c:pt idx="29">
                  <c:v>3.3383649614663118</c:v>
                </c:pt>
                <c:pt idx="30">
                  <c:v>2.7324954656695084</c:v>
                </c:pt>
                <c:pt idx="31">
                  <c:v>2.3009843474874221</c:v>
                </c:pt>
                <c:pt idx="32">
                  <c:v>1.9824995074003007</c:v>
                </c:pt>
                <c:pt idx="33">
                  <c:v>1.7393335822590665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4B5D-4584-BAF2-69CAC71E549E}"/>
            </c:ext>
          </c:extLst>
        </c:ser>
        <c:ser>
          <c:idx val="1"/>
          <c:order val="1"/>
          <c:tx>
            <c:v>Gain,dB (Xc)</c:v>
          </c:tx>
          <c:spPr>
            <a:ln w="19050" cap="rnd">
              <a:solidFill>
                <a:schemeClr val="accent2"/>
              </a:solidFill>
              <a:round/>
            </a:ln>
            <a:effectLst/>
          </c:spPr>
          <c:marker>
            <c:symbol val="none"/>
          </c:marker>
          <c:xVal>
            <c:numRef>
              <c:f>'NonInv LPF2'!$B$47:$B$101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LPF2'!$E$47:$E$101</c:f>
              <c:numCache>
                <c:formatCode>General</c:formatCode>
                <c:ptCount val="55"/>
                <c:pt idx="0">
                  <c:v>6.0205990560168896</c:v>
                </c:pt>
                <c:pt idx="1">
                  <c:v>6.0205964842312252</c:v>
                </c:pt>
                <c:pt idx="2">
                  <c:v>6.0205921979302435</c:v>
                </c:pt>
                <c:pt idx="3">
                  <c:v>6.0205861971266375</c:v>
                </c:pt>
                <c:pt idx="4">
                  <c:v>6.0205784818381733</c:v>
                </c:pt>
                <c:pt idx="5">
                  <c:v>6.020569052087696</c:v>
                </c:pt>
                <c:pt idx="6">
                  <c:v>6.0205579079031253</c:v>
                </c:pt>
                <c:pt idx="7">
                  <c:v>6.0205450493174553</c:v>
                </c:pt>
                <c:pt idx="8">
                  <c:v>6.0205304763687559</c:v>
                </c:pt>
                <c:pt idx="9">
                  <c:v>6.0205141891001759</c:v>
                </c:pt>
                <c:pt idx="10">
                  <c:v>6.0202570419406944</c:v>
                </c:pt>
                <c:pt idx="11">
                  <c:v>6.0198285479157354</c:v>
                </c:pt>
                <c:pt idx="12">
                  <c:v>6.0192288338094873</c:v>
                </c:pt>
                <c:pt idx="13">
                  <c:v>6.0184580769657705</c:v>
                </c:pt>
                <c:pt idx="14">
                  <c:v>6.0175165051343367</c:v>
                </c:pt>
                <c:pt idx="15">
                  <c:v>6.0164043962736997</c:v>
                </c:pt>
                <c:pt idx="16">
                  <c:v>6.0151220783108545</c:v>
                </c:pt>
                <c:pt idx="17">
                  <c:v>6.0136699288583104</c:v>
                </c:pt>
                <c:pt idx="18">
                  <c:v>6.0120483748889058</c:v>
                </c:pt>
                <c:pt idx="19">
                  <c:v>5.9866439585278775</c:v>
                </c:pt>
                <c:pt idx="20">
                  <c:v>5.9451161488214179</c:v>
                </c:pt>
                <c:pt idx="21">
                  <c:v>5.8886138892416824</c:v>
                </c:pt>
                <c:pt idx="22">
                  <c:v>5.8186166137450552</c:v>
                </c:pt>
                <c:pt idx="23">
                  <c:v>5.7368292974768682</c:v>
                </c:pt>
                <c:pt idx="24">
                  <c:v>5.6450751958862018</c:v>
                </c:pt>
                <c:pt idx="25">
                  <c:v>5.5451977870625671</c:v>
                </c:pt>
                <c:pt idx="26">
                  <c:v>5.4389796946676974</c:v>
                </c:pt>
                <c:pt idx="27">
                  <c:v>5.328082271833436</c:v>
                </c:pt>
                <c:pt idx="28">
                  <c:v>4.2046415681447904</c:v>
                </c:pt>
                <c:pt idx="29">
                  <c:v>3.3383649614663118</c:v>
                </c:pt>
                <c:pt idx="30">
                  <c:v>2.7324954656695084</c:v>
                </c:pt>
                <c:pt idx="31">
                  <c:v>2.3009843474874221</c:v>
                </c:pt>
                <c:pt idx="32">
                  <c:v>1.9824995074003007</c:v>
                </c:pt>
                <c:pt idx="33">
                  <c:v>1.739333582259065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C3C3-4546-859D-79F2BE0DB7CA}"/>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HPF1'!$C$17</c:f>
              <c:strCache>
                <c:ptCount val="1"/>
                <c:pt idx="0">
                  <c:v>Vin(+)</c:v>
                </c:pt>
              </c:strCache>
            </c:strRef>
          </c:tx>
          <c:spPr>
            <a:ln>
              <a:solidFill>
                <a:schemeClr val="tx1"/>
              </a:solidFill>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HPF1'!$C$18:$C$43</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53AB-475C-967E-170B52DF6EF7}"/>
            </c:ext>
          </c:extLst>
        </c:ser>
        <c:ser>
          <c:idx val="1"/>
          <c:order val="1"/>
          <c:tx>
            <c:strRef>
              <c:f>'NonInv HPF1'!$E$17</c:f>
              <c:strCache>
                <c:ptCount val="1"/>
                <c:pt idx="0">
                  <c:v>Vout</c:v>
                </c:pt>
              </c:strCache>
            </c:strRef>
          </c:tx>
          <c:spPr>
            <a:ln>
              <a:solidFill>
                <a:srgbClr val="C00000"/>
              </a:solidFill>
              <a:prstDash val="dash"/>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HPF1'!$E$18:$E$43</c:f>
              <c:numCache>
                <c:formatCode>General</c:formatCode>
                <c:ptCount val="26"/>
                <c:pt idx="0">
                  <c:v>0.99999999999996347</c:v>
                </c:pt>
                <c:pt idx="1">
                  <c:v>1.3801544918754909</c:v>
                </c:pt>
                <c:pt idx="2">
                  <c:v>0.47904751591505706</c:v>
                </c:pt>
                <c:pt idx="3">
                  <c:v>-0.86678150168466128</c:v>
                </c:pt>
                <c:pt idx="4">
                  <c:v>-1.4079370239046047</c:v>
                </c:pt>
                <c:pt idx="5">
                  <c:v>-0.64203926441748105</c:v>
                </c:pt>
                <c:pt idx="6">
                  <c:v>0.71989334129762128</c:v>
                </c:pt>
                <c:pt idx="7">
                  <c:v>1.4135155480059323</c:v>
                </c:pt>
                <c:pt idx="8">
                  <c:v>0.79490567018437708</c:v>
                </c:pt>
                <c:pt idx="9">
                  <c:v>-0.56165203287487941</c:v>
                </c:pt>
                <c:pt idx="10">
                  <c:v>-1.3968020875219473</c:v>
                </c:pt>
                <c:pt idx="11">
                  <c:v>-0.93523593867883292</c:v>
                </c:pt>
                <c:pt idx="12">
                  <c:v>0.3945531363790416</c:v>
                </c:pt>
                <c:pt idx="13">
                  <c:v>1.358060223708619</c:v>
                </c:pt>
                <c:pt idx="14">
                  <c:v>1.0608169777374563</c:v>
                </c:pt>
                <c:pt idx="15">
                  <c:v>-0.22123190122788472</c:v>
                </c:pt>
                <c:pt idx="16">
                  <c:v>-1.2979009389015512</c:v>
                </c:pt>
                <c:pt idx="17">
                  <c:v>-1.1696682993558121</c:v>
                </c:pt>
                <c:pt idx="18">
                  <c:v>4.4421706836832164E-2</c:v>
                </c:pt>
                <c:pt idx="19">
                  <c:v>1.2172729809595675</c:v>
                </c:pt>
                <c:pt idx="20">
                  <c:v>1.2600732531673535</c:v>
                </c:pt>
                <c:pt idx="21">
                  <c:v>0.13308904440727617</c:v>
                </c:pt>
                <c:pt idx="22">
                  <c:v>-1.1174479009442198</c:v>
                </c:pt>
                <c:pt idx="23">
                  <c:v>-1.3306060990451707</c:v>
                </c:pt>
                <c:pt idx="24">
                  <c:v>-0.30850090191754032</c:v>
                </c:pt>
                <c:pt idx="25">
                  <c:v>0.99999999999996236</c:v>
                </c:pt>
              </c:numCache>
            </c:numRef>
          </c:yVal>
          <c:smooth val="1"/>
          <c:extLst>
            <c:ext xmlns:c16="http://schemas.microsoft.com/office/drawing/2014/chart" uri="{C3380CC4-5D6E-409C-BE32-E72D297353CC}">
              <c16:uniqueId val="{00000001-53AB-475C-967E-170B52DF6EF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HPF1'!$C$48:$C$102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-38.931091405148415</c:v>
                </c:pt>
                <c:pt idx="9">
                  <c:v>-38.015974168763023</c:v>
                </c:pt>
                <c:pt idx="10">
                  <c:v>-31.995888562491533</c:v>
                </c:pt>
                <c:pt idx="11">
                  <c:v>-28.47492042440112</c:v>
                </c:pt>
                <c:pt idx="12">
                  <c:v>-25.977345268400029</c:v>
                </c:pt>
                <c:pt idx="13">
                  <c:v>-24.04068683374685</c:v>
                </c:pt>
                <c:pt idx="14">
                  <c:v>-22.458945623145038</c:v>
                </c:pt>
                <c:pt idx="15">
                  <c:v>-21.122234980811108</c:v>
                </c:pt>
                <c:pt idx="16">
                  <c:v>-19.964962106483174</c:v>
                </c:pt>
                <c:pt idx="17">
                  <c:v>-18.944818033075425</c:v>
                </c:pt>
                <c:pt idx="18">
                  <c:v>-18.032914223902658</c:v>
                </c:pt>
                <c:pt idx="19">
                  <c:v>-12.063247981752918</c:v>
                </c:pt>
                <c:pt idx="20">
                  <c:v>-8.6250068923629826</c:v>
                </c:pt>
                <c:pt idx="21">
                  <c:v>-6.2406115148955834</c:v>
                </c:pt>
                <c:pt idx="22">
                  <c:v>-4.4451782407212228</c:v>
                </c:pt>
                <c:pt idx="23">
                  <c:v>-3.0299038371231579</c:v>
                </c:pt>
                <c:pt idx="24">
                  <c:v>-1.8818632695283259</c:v>
                </c:pt>
                <c:pt idx="25">
                  <c:v>-0.93234156953539649</c:v>
                </c:pt>
                <c:pt idx="26">
                  <c:v>-0.13595210590718401</c:v>
                </c:pt>
                <c:pt idx="27">
                  <c:v>0.53912716423663665</c:v>
                </c:pt>
                <c:pt idx="28">
                  <c:v>3.8900535734468389</c:v>
                </c:pt>
                <c:pt idx="29">
                  <c:v>4.9435909443963331</c:v>
                </c:pt>
                <c:pt idx="30">
                  <c:v>5.382335548197771</c:v>
                </c:pt>
                <c:pt idx="31">
                  <c:v>5.6014599847633342</c:v>
                </c:pt>
                <c:pt idx="32">
                  <c:v>5.7252933610705803</c:v>
                </c:pt>
                <c:pt idx="33">
                  <c:v>5.8017039627357372</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6.0175452079010352</c:v>
                </c:pt>
                <c:pt idx="42">
                  <c:v>6.0183554305626386</c:v>
                </c:pt>
                <c:pt idx="43">
                  <c:v>6.0188813771341501</c:v>
                </c:pt>
                <c:pt idx="44">
                  <c:v>6.0192420011792791</c:v>
                </c:pt>
                <c:pt idx="45">
                  <c:v>6.0194999718090632</c:v>
                </c:pt>
                <c:pt idx="46">
                  <c:v>6.0203249017937122</c:v>
                </c:pt>
                <c:pt idx="47">
                  <c:v>6.0204776838025769</c:v>
                </c:pt>
                <c:pt idx="48">
                  <c:v>6.0205311587754951</c:v>
                </c:pt>
                <c:pt idx="49">
                  <c:v>6.0205559102715895</c:v>
                </c:pt>
                <c:pt idx="50">
                  <c:v>6.0205693555878534</c:v>
                </c:pt>
                <c:pt idx="51">
                  <c:v>6.0205774627096131</c:v>
                </c:pt>
                <c:pt idx="52">
                  <c:v>6.0205827245515469</c:v>
                </c:pt>
                <c:pt idx="53">
                  <c:v>6.0205863320567365</c:v>
                </c:pt>
                <c:pt idx="54">
                  <c:v>6.0205889124858185</c:v>
                </c:pt>
              </c:numCache>
            </c:numRef>
          </c:yVal>
          <c:smooth val="0"/>
          <c:extLst>
            <c:ext xmlns:c16="http://schemas.microsoft.com/office/drawing/2014/chart" uri="{C3380CC4-5D6E-409C-BE32-E72D297353CC}">
              <c16:uniqueId val="{00000000-0622-487C-91D8-A6393340C89E}"/>
            </c:ext>
          </c:extLst>
        </c:ser>
        <c:ser>
          <c:idx val="1"/>
          <c:order val="1"/>
          <c:tx>
            <c:v>Gain,dB (Xc)</c:v>
          </c:tx>
          <c:spPr>
            <a:ln w="19050" cap="rnd">
              <a:solidFill>
                <a:schemeClr val="accent2"/>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HPF1'!$E$48:$E$102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-38.931091405148408</c:v>
                </c:pt>
                <c:pt idx="9">
                  <c:v>-38.015974168763023</c:v>
                </c:pt>
                <c:pt idx="10">
                  <c:v>-31.995888562491533</c:v>
                </c:pt>
                <c:pt idx="11">
                  <c:v>-28.474920424401112</c:v>
                </c:pt>
                <c:pt idx="12">
                  <c:v>-25.977345268400029</c:v>
                </c:pt>
                <c:pt idx="13">
                  <c:v>-24.04068683374685</c:v>
                </c:pt>
                <c:pt idx="14">
                  <c:v>-22.458945623145034</c:v>
                </c:pt>
                <c:pt idx="15">
                  <c:v>-21.122234980811104</c:v>
                </c:pt>
                <c:pt idx="16">
                  <c:v>-19.964962106483174</c:v>
                </c:pt>
                <c:pt idx="17">
                  <c:v>-18.944818033075418</c:v>
                </c:pt>
                <c:pt idx="18">
                  <c:v>-18.032914223902658</c:v>
                </c:pt>
                <c:pt idx="19">
                  <c:v>-12.063247981752916</c:v>
                </c:pt>
                <c:pt idx="20">
                  <c:v>-8.6250068923629808</c:v>
                </c:pt>
                <c:pt idx="21">
                  <c:v>-6.2406115148955807</c:v>
                </c:pt>
                <c:pt idx="22">
                  <c:v>-4.445178240721221</c:v>
                </c:pt>
                <c:pt idx="23">
                  <c:v>-3.0299038371231579</c:v>
                </c:pt>
                <c:pt idx="24">
                  <c:v>-1.8818632695283237</c:v>
                </c:pt>
                <c:pt idx="25">
                  <c:v>-0.93234156953539549</c:v>
                </c:pt>
                <c:pt idx="26">
                  <c:v>-0.13595210590718401</c:v>
                </c:pt>
                <c:pt idx="27">
                  <c:v>0.53912716423663842</c:v>
                </c:pt>
                <c:pt idx="28">
                  <c:v>3.8900535734468376</c:v>
                </c:pt>
                <c:pt idx="29">
                  <c:v>4.9435909443963348</c:v>
                </c:pt>
                <c:pt idx="30">
                  <c:v>5.3823355481977693</c:v>
                </c:pt>
                <c:pt idx="31">
                  <c:v>5.6014599847633342</c:v>
                </c:pt>
                <c:pt idx="32">
                  <c:v>5.7252933610705803</c:v>
                </c:pt>
                <c:pt idx="33">
                  <c:v>5.8017039627357363</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6.0175452079010334</c:v>
                </c:pt>
                <c:pt idx="42">
                  <c:v>6.0183554305626386</c:v>
                </c:pt>
                <c:pt idx="43">
                  <c:v>6.0188813771341501</c:v>
                </c:pt>
                <c:pt idx="44">
                  <c:v>6.0192420011792782</c:v>
                </c:pt>
                <c:pt idx="45">
                  <c:v>6.0194999718090649</c:v>
                </c:pt>
                <c:pt idx="46">
                  <c:v>6.0203249017937113</c:v>
                </c:pt>
                <c:pt idx="47">
                  <c:v>6.0204776838025769</c:v>
                </c:pt>
                <c:pt idx="48">
                  <c:v>6.0205311587754959</c:v>
                </c:pt>
                <c:pt idx="49">
                  <c:v>6.0205559102715887</c:v>
                </c:pt>
                <c:pt idx="50">
                  <c:v>6.0205693555878526</c:v>
                </c:pt>
                <c:pt idx="51">
                  <c:v>6.020577462709614</c:v>
                </c:pt>
                <c:pt idx="52">
                  <c:v>6.0205827245515477</c:v>
                </c:pt>
                <c:pt idx="53">
                  <c:v>6.0205863320567374</c:v>
                </c:pt>
                <c:pt idx="54">
                  <c:v>6.0205889124858167</c:v>
                </c:pt>
              </c:numCache>
            </c:numRef>
          </c:yVal>
          <c:smooth val="0"/>
          <c:extLst>
            <c:ext xmlns:c16="http://schemas.microsoft.com/office/drawing/2014/chart" uri="{C3380CC4-5D6E-409C-BE32-E72D297353CC}">
              <c16:uniqueId val="{00000000-3DE1-4D52-AD8C-B1F47215A279}"/>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HPF2'!$C$17</c:f>
              <c:strCache>
                <c:ptCount val="1"/>
                <c:pt idx="0">
                  <c:v>Vin(+)</c:v>
                </c:pt>
              </c:strCache>
            </c:strRef>
          </c:tx>
          <c:spPr>
            <a:ln>
              <a:solidFill>
                <a:schemeClr val="tx1"/>
              </a:solidFill>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HPF2'!$C$18:$C$43</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-0.24868988716485449</c:v>
                </c:pt>
                <c:pt idx="7">
                  <c:v>0.68454710592868928</c:v>
                </c:pt>
                <c:pt idx="8">
                  <c:v>0.98228725072868861</c:v>
                </c:pt>
                <c:pt idx="9">
                  <c:v>0.36812455268467631</c:v>
                </c:pt>
                <c:pt idx="10">
                  <c:v>-0.58778525229247425</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-0.68454710592868606</c:v>
                </c:pt>
                <c:pt idx="19">
                  <c:v>0.24868988716485957</c:v>
                </c:pt>
                <c:pt idx="20">
                  <c:v>0.95105651629515442</c:v>
                </c:pt>
                <c:pt idx="21">
                  <c:v>0.77051324277578881</c:v>
                </c:pt>
                <c:pt idx="22">
                  <c:v>-0.12533323356430268</c:v>
                </c:pt>
                <c:pt idx="23">
                  <c:v>-0.90482705246601791</c:v>
                </c:pt>
                <c:pt idx="24">
                  <c:v>-0.8443279255020163</c:v>
                </c:pt>
                <c:pt idx="25">
                  <c:v>-4.5328324427273969E-15</c:v>
                </c:pt>
              </c:numCache>
            </c:numRef>
          </c:yVal>
          <c:smooth val="1"/>
          <c:extLst>
            <c:ext xmlns:c16="http://schemas.microsoft.com/office/drawing/2014/chart" uri="{C3380CC4-5D6E-409C-BE32-E72D297353CC}">
              <c16:uniqueId val="{00000000-9ED7-469C-ABE3-89B8BC626663}"/>
            </c:ext>
          </c:extLst>
        </c:ser>
        <c:ser>
          <c:idx val="1"/>
          <c:order val="1"/>
          <c:tx>
            <c:strRef>
              <c:f>'NonInv HPF2'!$E$17</c:f>
              <c:strCache>
                <c:ptCount val="1"/>
                <c:pt idx="0">
                  <c:v>Vout</c:v>
                </c:pt>
              </c:strCache>
            </c:strRef>
          </c:tx>
          <c:spPr>
            <a:ln>
              <a:solidFill>
                <a:srgbClr val="C00000"/>
              </a:solidFill>
              <a:prstDash val="dash"/>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HPF2'!$E$18:$E$43</c:f>
              <c:numCache>
                <c:formatCode>General</c:formatCode>
                <c:ptCount val="26"/>
                <c:pt idx="0">
                  <c:v>0</c:v>
                </c:pt>
                <c:pt idx="1">
                  <c:v>1.6903208458605361</c:v>
                </c:pt>
                <c:pt idx="2">
                  <c:v>1.8114384026472752</c:v>
                </c:pt>
                <c:pt idx="3">
                  <c:v>0.25091362132418893</c:v>
                </c:pt>
                <c:pt idx="4">
                  <c:v>-1.5425459195858477</c:v>
                </c:pt>
                <c:pt idx="5">
                  <c:v>-1.9039884937234166</c:v>
                </c:pt>
                <c:pt idx="6">
                  <c:v>-0.49787018495156343</c:v>
                </c:pt>
                <c:pt idx="7">
                  <c:v>1.3704441226870241</c:v>
                </c:pt>
                <c:pt idx="8">
                  <c:v>1.9665115488659446</c:v>
                </c:pt>
                <c:pt idx="9">
                  <c:v>0.73697503834901701</c:v>
                </c:pt>
                <c:pt idx="10">
                  <c:v>-1.1767296033097896</c:v>
                </c:pt>
                <c:pt idx="11">
                  <c:v>-1.9980215421457987</c:v>
                </c:pt>
                <c:pt idx="12">
                  <c:v>-0.96445735514415709</c:v>
                </c:pt>
                <c:pt idx="13">
                  <c:v>0.96445735514416775</c:v>
                </c:pt>
                <c:pt idx="14">
                  <c:v>1.9980215421457996</c:v>
                </c:pt>
                <c:pt idx="15">
                  <c:v>1.1767296033097796</c:v>
                </c:pt>
                <c:pt idx="16">
                  <c:v>-0.73697503834902844</c:v>
                </c:pt>
                <c:pt idx="17">
                  <c:v>-1.9665115488659468</c:v>
                </c:pt>
                <c:pt idx="18">
                  <c:v>-1.3704441226870177</c:v>
                </c:pt>
                <c:pt idx="19">
                  <c:v>0.49787018495157365</c:v>
                </c:pt>
                <c:pt idx="20">
                  <c:v>1.9039884937234182</c:v>
                </c:pt>
                <c:pt idx="21">
                  <c:v>1.5425459195858466</c:v>
                </c:pt>
                <c:pt idx="22">
                  <c:v>-0.2509136213241861</c:v>
                </c:pt>
                <c:pt idx="23">
                  <c:v>-1.8114384026472721</c:v>
                </c:pt>
                <c:pt idx="24">
                  <c:v>-1.6903208458605385</c:v>
                </c:pt>
                <c:pt idx="25">
                  <c:v>-9.074603524666635E-15</c:v>
                </c:pt>
              </c:numCache>
            </c:numRef>
          </c:yVal>
          <c:smooth val="1"/>
          <c:extLst>
            <c:ext xmlns:c16="http://schemas.microsoft.com/office/drawing/2014/chart" uri="{C3380CC4-5D6E-409C-BE32-E72D297353CC}">
              <c16:uniqueId val="{00000001-9ED7-469C-ABE3-89B8BC62666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strRef>
              <c:f>'NonInv HPF2'!$C$47</c:f>
              <c:strCache>
                <c:ptCount val="1"/>
                <c:pt idx="0">
                  <c:v>Gain,dB</c:v>
                </c:pt>
              </c:strCache>
            </c:strRef>
          </c:tx>
          <c:spPr>
            <a:ln w="19050" cap="rnd">
              <a:solidFill>
                <a:schemeClr val="accent2"/>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HPF2'!$C$48:$C$102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6.0236844163941692</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6.7731523880387225</c:v>
                </c:pt>
                <c:pt idx="28">
                  <c:v>8.3193851884194991</c:v>
                </c:pt>
                <c:pt idx="29">
                  <c:v>9.9213963919051515</c:v>
                </c:pt>
                <c:pt idx="30">
                  <c:v>11.375557024472908</c:v>
                </c:pt>
                <c:pt idx="31">
                  <c:v>12.663121729886388</c:v>
                </c:pt>
                <c:pt idx="32">
                  <c:v>13.804428434444514</c:v>
                </c:pt>
                <c:pt idx="33">
                  <c:v>14.823787700250389</c:v>
                </c:pt>
                <c:pt idx="34">
                  <c:v>15.742199650505714</c:v>
                </c:pt>
                <c:pt idx="35">
                  <c:v>16.576555046796997</c:v>
                </c:pt>
                <c:pt idx="36">
                  <c:v>17.340229066079644</c:v>
                </c:pt>
                <c:pt idx="37">
                  <c:v>22.674670973307979</c:v>
                </c:pt>
                <c:pt idx="38">
                  <c:v>25.966607339660477</c:v>
                </c:pt>
                <c:pt idx="39">
                  <c:v>28.350306637172014</c:v>
                </c:pt>
                <c:pt idx="40">
                  <c:v>30.219431240489037</c:v>
                </c:pt>
                <c:pt idx="41">
                  <c:v>31.756995742868021</c:v>
                </c:pt>
                <c:pt idx="42">
                  <c:v>33.06302719522828</c:v>
                </c:pt>
                <c:pt idx="43">
                  <c:v>34.198185994260037</c:v>
                </c:pt>
                <c:pt idx="44">
                  <c:v>35.20203980377638</c:v>
                </c:pt>
                <c:pt idx="45">
                  <c:v>36.101831758822541</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245B-46C9-85CF-A4EC00F8B285}"/>
            </c:ext>
          </c:extLst>
        </c:ser>
        <c:ser>
          <c:idx val="0"/>
          <c:order val="1"/>
          <c:tx>
            <c:strRef>
              <c:f>'NonInv HPF2'!$E$47</c:f>
              <c:strCache>
                <c:ptCount val="1"/>
                <c:pt idx="0">
                  <c:v>Gain,dB (Xc)</c:v>
                </c:pt>
              </c:strCache>
            </c:strRef>
          </c:tx>
          <c:spPr>
            <a:ln w="19050" cap="rnd">
              <a:solidFill>
                <a:srgbClr val="C00000"/>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HPF2'!$E$48:$E$102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6.0236844163941683</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6.7731523880387243</c:v>
                </c:pt>
                <c:pt idx="28">
                  <c:v>8.3193851884194991</c:v>
                </c:pt>
                <c:pt idx="29">
                  <c:v>9.9213963919051515</c:v>
                </c:pt>
                <c:pt idx="30">
                  <c:v>11.375557024472908</c:v>
                </c:pt>
                <c:pt idx="31">
                  <c:v>12.663121729886392</c:v>
                </c:pt>
                <c:pt idx="32">
                  <c:v>13.804428434444517</c:v>
                </c:pt>
                <c:pt idx="33">
                  <c:v>14.82378770025039</c:v>
                </c:pt>
                <c:pt idx="34">
                  <c:v>15.742199650505718</c:v>
                </c:pt>
                <c:pt idx="35">
                  <c:v>16.576555046796997</c:v>
                </c:pt>
                <c:pt idx="36">
                  <c:v>17.340229066079644</c:v>
                </c:pt>
                <c:pt idx="37">
                  <c:v>22.674670973307983</c:v>
                </c:pt>
                <c:pt idx="38">
                  <c:v>25.966607339660484</c:v>
                </c:pt>
                <c:pt idx="39">
                  <c:v>28.350306637172018</c:v>
                </c:pt>
                <c:pt idx="40">
                  <c:v>30.219431240489044</c:v>
                </c:pt>
                <c:pt idx="41">
                  <c:v>31.756995742868021</c:v>
                </c:pt>
                <c:pt idx="42">
                  <c:v>33.063027195228287</c:v>
                </c:pt>
                <c:pt idx="43">
                  <c:v>34.198185994260044</c:v>
                </c:pt>
                <c:pt idx="44">
                  <c:v>35.20203980377638</c:v>
                </c:pt>
                <c:pt idx="45">
                  <c:v>36.101831758822549</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DB3C-42BE-9F16-B20398832BF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'NonInv+Bias'!$C$9</c:f>
              <c:strCache>
                <c:ptCount val="1"/>
                <c:pt idx="0">
                  <c:v>Vin(+)</c:v>
                </c:pt>
              </c:strCache>
            </c:strRef>
          </c:tx>
          <c:spPr>
            <a:ln>
              <a:solidFill>
                <a:schemeClr val="tx1"/>
              </a:solidFill>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7A0F-4410-9CD6-61E2DEFE81A2}"/>
            </c:ext>
          </c:extLst>
        </c:ser>
        <c:ser>
          <c:idx val="1"/>
          <c:order val="1"/>
          <c:tx>
            <c:strRef>
              <c:f>'NonInv+Bias'!$E$9</c:f>
              <c:strCache>
                <c:ptCount val="1"/>
                <c:pt idx="0">
                  <c:v>Vout</c:v>
                </c:pt>
              </c:strCache>
            </c:strRef>
          </c:tx>
          <c:spPr>
            <a:ln>
              <a:solidFill>
                <a:srgbClr val="C00000"/>
              </a:solidFill>
              <a:prstDash val="dash"/>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'NonInv+Bias'!$E$10:$E$35</c:f>
              <c:numCache>
                <c:formatCode>General</c:formatCode>
                <c:ptCount val="26"/>
                <c:pt idx="0">
                  <c:v>1.5</c:v>
                </c:pt>
                <c:pt idx="1">
                  <c:v>1.8993336665873126</c:v>
                </c:pt>
                <c:pt idx="2">
                  <c:v>2.2946773231802449</c:v>
                </c:pt>
                <c:pt idx="3">
                  <c:v>3.6</c:v>
                </c:pt>
                <c:pt idx="4">
                  <c:v>3.6</c:v>
                </c:pt>
                <c:pt idx="5">
                  <c:v>1.2665034262896797</c:v>
                </c:pt>
                <c:pt idx="6">
                  <c:v>-1.9863030896543528</c:v>
                </c:pt>
                <c:pt idx="7">
                  <c:v>-2.0338186228806125</c:v>
                </c:pt>
                <c:pt idx="8">
                  <c:v>1.1676423887300145</c:v>
                </c:pt>
                <c:pt idx="9">
                  <c:v>3.6</c:v>
                </c:pt>
                <c:pt idx="10">
                  <c:v>3.6</c:v>
                </c:pt>
                <c:pt idx="11">
                  <c:v>2.3915596564009904</c:v>
                </c:pt>
                <c:pt idx="12">
                  <c:v>-1.2994987503741693</c:v>
                </c:pt>
                <c:pt idx="13">
                  <c:v>-2.4167109166052696</c:v>
                </c:pt>
                <c:pt idx="14">
                  <c:v>6.7082871052685178E-2</c:v>
                </c:pt>
                <c:pt idx="15">
                  <c:v>3.6</c:v>
                </c:pt>
                <c:pt idx="16">
                  <c:v>3.6</c:v>
                </c:pt>
                <c:pt idx="17">
                  <c:v>3.4455947554151987</c:v>
                </c:pt>
                <c:pt idx="18">
                  <c:v>-0.38968794559386466</c:v>
                </c:pt>
                <c:pt idx="19">
                  <c:v>-2.4876002641663844</c:v>
                </c:pt>
                <c:pt idx="20">
                  <c:v>-0.91933128962513644</c:v>
                </c:pt>
                <c:pt idx="21">
                  <c:v>2.8732597152795813</c:v>
                </c:pt>
                <c:pt idx="22">
                  <c:v>3.6</c:v>
                </c:pt>
                <c:pt idx="23">
                  <c:v>3.6</c:v>
                </c:pt>
                <c:pt idx="24">
                  <c:v>0.6706543175729649</c:v>
                </c:pt>
                <c:pt idx="25">
                  <c:v>-2.2408396607781556</c:v>
                </c:pt>
              </c:numCache>
            </c:numRef>
          </c:yVal>
          <c:smooth val="1"/>
          <c:extLst>
            <c:ext xmlns:c16="http://schemas.microsoft.com/office/drawing/2014/chart" uri="{C3380CC4-5D6E-409C-BE32-E72D297353CC}">
              <c16:uniqueId val="{00000001-7A0F-4410-9CD6-61E2DEFE81A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4669474455227982"/>
          <c:y val="0.78105010201142488"/>
          <c:w val="0.34380907037783071"/>
          <c:h val="0.1730877988379015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 Vhalf'!$C$9</c:f>
              <c:strCache>
                <c:ptCount val="1"/>
                <c:pt idx="0">
                  <c:v>Vin(+)</c:v>
                </c:pt>
              </c:strCache>
            </c:strRef>
          </c:tx>
          <c:spPr>
            <a:ln>
              <a:solidFill>
                <a:schemeClr val="tx1"/>
              </a:solidFill>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0129-4D49-8407-DC1AB709F362}"/>
            </c:ext>
          </c:extLst>
        </c:ser>
        <c:ser>
          <c:idx val="1"/>
          <c:order val="1"/>
          <c:tx>
            <c:strRef>
              <c:f>'NonInv+Bias Vhalf'!$E$9</c:f>
              <c:strCache>
                <c:ptCount val="1"/>
                <c:pt idx="0">
                  <c:v>Vout</c:v>
                </c:pt>
              </c:strCache>
            </c:strRef>
          </c:tx>
          <c:spPr>
            <a:ln>
              <a:solidFill>
                <a:srgbClr val="C00000"/>
              </a:solidFill>
              <a:prstDash val="dash"/>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Vhalf'!$E$10:$E$35</c:f>
              <c:numCache>
                <c:formatCode>General</c:formatCode>
                <c:ptCount val="26"/>
                <c:pt idx="0">
                  <c:v>2.5</c:v>
                </c:pt>
                <c:pt idx="1">
                  <c:v>2.6098167583115113</c:v>
                </c:pt>
                <c:pt idx="2">
                  <c:v>2.7185362638745665</c:v>
                </c:pt>
                <c:pt idx="3">
                  <c:v>3.5252429945639494</c:v>
                </c:pt>
                <c:pt idx="4">
                  <c:v>3.3893460442015511</c:v>
                </c:pt>
                <c:pt idx="5">
                  <c:v>2.4357884422296623</c:v>
                </c:pt>
                <c:pt idx="6">
                  <c:v>1.5412666503450549</c:v>
                </c:pt>
                <c:pt idx="7">
                  <c:v>1.5281998787078295</c:v>
                </c:pt>
                <c:pt idx="8">
                  <c:v>2.4086016569007525</c:v>
                </c:pt>
                <c:pt idx="9">
                  <c:v>3.3730346502340676</c:v>
                </c:pt>
                <c:pt idx="10">
                  <c:v>3.5348036123477491</c:v>
                </c:pt>
                <c:pt idx="11">
                  <c:v>2.7451789055102731</c:v>
                </c:pt>
                <c:pt idx="12">
                  <c:v>1.7301378436471033</c:v>
                </c:pt>
                <c:pt idx="13">
                  <c:v>1.4229044979335512</c:v>
                </c:pt>
                <c:pt idx="14">
                  <c:v>2.1059477895394889</c:v>
                </c:pt>
                <c:pt idx="15">
                  <c:v>3.151280866177943</c:v>
                </c:pt>
                <c:pt idx="16">
                  <c:v>3.5978293179880003</c:v>
                </c:pt>
                <c:pt idx="17">
                  <c:v>3.0350385577391821</c:v>
                </c:pt>
                <c:pt idx="18">
                  <c:v>1.9803358149616876</c:v>
                </c:pt>
                <c:pt idx="19">
                  <c:v>1.4034099273542431</c:v>
                </c:pt>
                <c:pt idx="20">
                  <c:v>1.8346838953530891</c:v>
                </c:pt>
                <c:pt idx="21">
                  <c:v>2.8776464217018827</c:v>
                </c:pt>
                <c:pt idx="22">
                  <c:v>3.5734025695436742</c:v>
                </c:pt>
                <c:pt idx="23">
                  <c:v>3.2822773451965785</c:v>
                </c:pt>
                <c:pt idx="24">
                  <c:v>2.2719299373325632</c:v>
                </c:pt>
                <c:pt idx="25">
                  <c:v>1.4712690932860069</c:v>
                </c:pt>
              </c:numCache>
            </c:numRef>
          </c:yVal>
          <c:smooth val="1"/>
          <c:extLst>
            <c:ext xmlns:c16="http://schemas.microsoft.com/office/drawing/2014/chart" uri="{C3380CC4-5D6E-409C-BE32-E72D297353CC}">
              <c16:uniqueId val="{00000001-0129-4D49-8407-DC1AB709F36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75631739708957"/>
          <c:y val="0.63585960957098686"/>
          <c:w val="0.24804116988014055"/>
          <c:h val="0.2408431870415400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'NonInv+Bias - Calculate R'!$C$9</c:f>
              <c:strCache>
                <c:ptCount val="1"/>
                <c:pt idx="0">
                  <c:v>Vin(+)</c:v>
                </c:pt>
              </c:strCache>
            </c:strRef>
          </c:tx>
          <c:spPr>
            <a:ln>
              <a:solidFill>
                <a:schemeClr val="tx1"/>
              </a:solidFill>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R'!$C$10:$C$35</c:f>
              <c:numCache>
                <c:formatCode>General</c:formatCode>
                <c:ptCount val="26"/>
                <c:pt idx="0">
                  <c:v>0</c:v>
                </c:pt>
                <c:pt idx="1">
                  <c:v>1.4975012497024223E-2</c:v>
                </c:pt>
                <c:pt idx="2">
                  <c:v>2.980039961925918E-2</c:v>
                </c:pt>
                <c:pt idx="3">
                  <c:v>0.13980586289508393</c:v>
                </c:pt>
                <c:pt idx="4">
                  <c:v>0.1212744605729385</c:v>
                </c:pt>
                <c:pt idx="5">
                  <c:v>-8.7561215141370129E-3</c:v>
                </c:pt>
                <c:pt idx="6">
                  <c:v>-0.13073636586203821</c:v>
                </c:pt>
                <c:pt idx="7">
                  <c:v>-0.13251819835802298</c:v>
                </c:pt>
                <c:pt idx="8">
                  <c:v>-1.2463410422624459E-2</c:v>
                </c:pt>
                <c:pt idx="9">
                  <c:v>0.11905017957737296</c:v>
                </c:pt>
                <c:pt idx="10">
                  <c:v>0.14110958350196595</c:v>
                </c:pt>
                <c:pt idx="11">
                  <c:v>3.3433487115037144E-2</c:v>
                </c:pt>
                <c:pt idx="12">
                  <c:v>-0.10498120313903135</c:v>
                </c:pt>
                <c:pt idx="13">
                  <c:v>-0.14687665937269762</c:v>
                </c:pt>
                <c:pt idx="14">
                  <c:v>-5.3734392335524302E-2</c:v>
                </c:pt>
                <c:pt idx="15">
                  <c:v>8.8811027206083457E-2</c:v>
                </c:pt>
                <c:pt idx="16">
                  <c:v>0.14970399790745426</c:v>
                </c:pt>
                <c:pt idx="17">
                  <c:v>7.295980332806995E-2</c:v>
                </c:pt>
                <c:pt idx="18">
                  <c:v>-7.0863297959769922E-2</c:v>
                </c:pt>
                <c:pt idx="19">
                  <c:v>-0.14953500990623941</c:v>
                </c:pt>
                <c:pt idx="20">
                  <c:v>-9.0724923360942608E-2</c:v>
                </c:pt>
                <c:pt idx="21">
                  <c:v>5.1497239322984306E-2</c:v>
                </c:pt>
                <c:pt idx="22">
                  <c:v>0.14637307766504631</c:v>
                </c:pt>
                <c:pt idx="23">
                  <c:v>0.10667418343589735</c:v>
                </c:pt>
                <c:pt idx="24">
                  <c:v>-3.1100463091013816E-2</c:v>
                </c:pt>
                <c:pt idx="25">
                  <c:v>-0.14028148727918083</c:v>
                </c:pt>
              </c:numCache>
            </c:numRef>
          </c:yVal>
          <c:smooth val="1"/>
          <c:extLst>
            <c:ext xmlns:c16="http://schemas.microsoft.com/office/drawing/2014/chart" uri="{C3380CC4-5D6E-409C-BE32-E72D297353CC}">
              <c16:uniqueId val="{00000000-8004-4F04-96E9-2DEB9E6BBA8F}"/>
            </c:ext>
          </c:extLst>
        </c:ser>
        <c:ser>
          <c:idx val="1"/>
          <c:order val="1"/>
          <c:tx>
            <c:strRef>
              <c:f>'NonInv+Bias - Calculate R'!$E$9</c:f>
              <c:strCache>
                <c:ptCount val="1"/>
                <c:pt idx="0">
                  <c:v>Vout</c:v>
                </c:pt>
              </c:strCache>
            </c:strRef>
          </c:tx>
          <c:spPr>
            <a:ln>
              <a:solidFill>
                <a:srgbClr val="C00000"/>
              </a:solidFill>
              <a:prstDash val="dash"/>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R'!$E$10:$E$35</c:f>
              <c:numCache>
                <c:formatCode>General</c:formatCode>
                <c:ptCount val="26"/>
                <c:pt idx="0">
                  <c:v>2.25</c:v>
                </c:pt>
                <c:pt idx="1">
                  <c:v>2.3548250874791696</c:v>
                </c:pt>
                <c:pt idx="2">
                  <c:v>2.4586027973348141</c:v>
                </c:pt>
                <c:pt idx="3">
                  <c:v>3.2286410402655874</c:v>
                </c:pt>
                <c:pt idx="4">
                  <c:v>3.0989212240105695</c:v>
                </c:pt>
                <c:pt idx="5">
                  <c:v>2.1887071494010408</c:v>
                </c:pt>
                <c:pt idx="6">
                  <c:v>1.3348454389657327</c:v>
                </c:pt>
                <c:pt idx="7">
                  <c:v>1.3223726114938392</c:v>
                </c:pt>
                <c:pt idx="8">
                  <c:v>2.1627561270416287</c:v>
                </c:pt>
                <c:pt idx="9">
                  <c:v>3.0833512570416106</c:v>
                </c:pt>
                <c:pt idx="10">
                  <c:v>3.2377670845137616</c:v>
                </c:pt>
                <c:pt idx="11">
                  <c:v>2.4840344098052598</c:v>
                </c:pt>
                <c:pt idx="12">
                  <c:v>1.5151315780267807</c:v>
                </c:pt>
                <c:pt idx="13">
                  <c:v>1.2218633843911169</c:v>
                </c:pt>
                <c:pt idx="14">
                  <c:v>1.8738592536513299</c:v>
                </c:pt>
                <c:pt idx="15">
                  <c:v>2.871677190442584</c:v>
                </c:pt>
                <c:pt idx="16">
                  <c:v>3.2979279853521799</c:v>
                </c:pt>
                <c:pt idx="17">
                  <c:v>2.7607186232964898</c:v>
                </c:pt>
                <c:pt idx="18">
                  <c:v>1.7539569142816105</c:v>
                </c:pt>
                <c:pt idx="19">
                  <c:v>1.2032549306563243</c:v>
                </c:pt>
                <c:pt idx="20">
                  <c:v>1.6149255364734019</c:v>
                </c:pt>
                <c:pt idx="21">
                  <c:v>2.6104806752608902</c:v>
                </c:pt>
                <c:pt idx="22">
                  <c:v>3.274611543655324</c:v>
                </c:pt>
                <c:pt idx="23">
                  <c:v>2.9967192840512813</c:v>
                </c:pt>
                <c:pt idx="24">
                  <c:v>2.0322967583629032</c:v>
                </c:pt>
                <c:pt idx="25">
                  <c:v>1.2680295890457343</c:v>
                </c:pt>
              </c:numCache>
            </c:numRef>
          </c:yVal>
          <c:smooth val="1"/>
          <c:extLst>
            <c:ext xmlns:c16="http://schemas.microsoft.com/office/drawing/2014/chart" uri="{C3380CC4-5D6E-409C-BE32-E72D297353CC}">
              <c16:uniqueId val="{00000001-8004-4F04-96E9-2DEB9E6BBA8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Attenuator!$C$9</c:f>
              <c:strCache>
                <c:ptCount val="1"/>
                <c:pt idx="0">
                  <c:v>Vin(+)</c:v>
                </c:pt>
              </c:strCache>
            </c:strRef>
          </c:tx>
          <c:spPr>
            <a:ln>
              <a:solidFill>
                <a:schemeClr val="tx1"/>
              </a:solidFill>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Attenuator!$C$10:$C$35</c:f>
              <c:numCache>
                <c:formatCode>General</c:formatCode>
                <c:ptCount val="26"/>
                <c:pt idx="0">
                  <c:v>0</c:v>
                </c:pt>
                <c:pt idx="1">
                  <c:v>1.1980009997619379</c:v>
                </c:pt>
                <c:pt idx="2">
                  <c:v>2.3840319695407346</c:v>
                </c:pt>
                <c:pt idx="3">
                  <c:v>11.184469031606715</c:v>
                </c:pt>
                <c:pt idx="4">
                  <c:v>9.7019568458350811</c:v>
                </c:pt>
                <c:pt idx="5">
                  <c:v>-0.70048972113096108</c:v>
                </c:pt>
                <c:pt idx="6">
                  <c:v>-10.458909268963058</c:v>
                </c:pt>
                <c:pt idx="7">
                  <c:v>-10.601455868641837</c:v>
                </c:pt>
                <c:pt idx="8">
                  <c:v>-0.99707283380995682</c:v>
                </c:pt>
                <c:pt idx="9">
                  <c:v>9.5240143661898369</c:v>
                </c:pt>
                <c:pt idx="10">
                  <c:v>11.288766680157277</c:v>
                </c:pt>
                <c:pt idx="11">
                  <c:v>2.6746789692029718</c:v>
                </c:pt>
                <c:pt idx="12">
                  <c:v>-8.3984962511225074</c:v>
                </c:pt>
                <c:pt idx="13">
                  <c:v>-11.750132749815808</c:v>
                </c:pt>
                <c:pt idx="14">
                  <c:v>-4.2987513868419445</c:v>
                </c:pt>
                <c:pt idx="15">
                  <c:v>7.1048821764866759</c:v>
                </c:pt>
                <c:pt idx="16">
                  <c:v>11.97631983259634</c:v>
                </c:pt>
                <c:pt idx="17">
                  <c:v>5.836784266245596</c:v>
                </c:pt>
                <c:pt idx="18">
                  <c:v>-5.6690638367815938</c:v>
                </c:pt>
                <c:pt idx="19">
                  <c:v>-11.962800792499152</c:v>
                </c:pt>
                <c:pt idx="20">
                  <c:v>-7.2579938688754098</c:v>
                </c:pt>
                <c:pt idx="21">
                  <c:v>4.1197791458387449</c:v>
                </c:pt>
                <c:pt idx="22">
                  <c:v>11.709846213203706</c:v>
                </c:pt>
                <c:pt idx="23">
                  <c:v>8.533934674871789</c:v>
                </c:pt>
                <c:pt idx="24">
                  <c:v>-2.4880370472811055</c:v>
                </c:pt>
                <c:pt idx="25">
                  <c:v>-11.222518982334467</c:v>
                </c:pt>
              </c:numCache>
            </c:numRef>
          </c:yVal>
          <c:smooth val="1"/>
          <c:extLst>
            <c:ext xmlns:c16="http://schemas.microsoft.com/office/drawing/2014/chart" uri="{C3380CC4-5D6E-409C-BE32-E72D297353CC}">
              <c16:uniqueId val="{00000000-7F57-4523-B3F4-CA039ED32BF1}"/>
            </c:ext>
          </c:extLst>
        </c:ser>
        <c:ser>
          <c:idx val="1"/>
          <c:order val="1"/>
          <c:tx>
            <c:strRef>
              <c:f>Attenuator!$E$9</c:f>
              <c:strCache>
                <c:ptCount val="1"/>
                <c:pt idx="0">
                  <c:v>Vout</c:v>
                </c:pt>
              </c:strCache>
            </c:strRef>
          </c:tx>
          <c:spPr>
            <a:ln>
              <a:solidFill>
                <a:srgbClr val="C00000"/>
              </a:solidFill>
              <a:prstDash val="dash"/>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Attenuator!$E$10:$E$35</c:f>
              <c:numCache>
                <c:formatCode>General</c:formatCode>
                <c:ptCount val="26"/>
                <c:pt idx="0">
                  <c:v>1.3</c:v>
                </c:pt>
                <c:pt idx="1">
                  <c:v>1.3</c:v>
                </c:pt>
                <c:pt idx="2">
                  <c:v>1.3</c:v>
                </c:pt>
                <c:pt idx="3">
                  <c:v>1.8640781719344526</c:v>
                </c:pt>
                <c:pt idx="4">
                  <c:v>1.6169928076391802</c:v>
                </c:pt>
                <c:pt idx="5">
                  <c:v>1.3</c:v>
                </c:pt>
                <c:pt idx="6">
                  <c:v>1.3</c:v>
                </c:pt>
                <c:pt idx="7">
                  <c:v>1.3</c:v>
                </c:pt>
                <c:pt idx="8">
                  <c:v>1.3</c:v>
                </c:pt>
                <c:pt idx="9">
                  <c:v>1.587335727698306</c:v>
                </c:pt>
                <c:pt idx="10">
                  <c:v>1.881461113359546</c:v>
                </c:pt>
                <c:pt idx="11">
                  <c:v>1.3</c:v>
                </c:pt>
                <c:pt idx="12">
                  <c:v>1.3</c:v>
                </c:pt>
                <c:pt idx="13">
                  <c:v>1.3</c:v>
                </c:pt>
                <c:pt idx="14">
                  <c:v>1.3</c:v>
                </c:pt>
                <c:pt idx="15">
                  <c:v>1.3</c:v>
                </c:pt>
                <c:pt idx="16">
                  <c:v>1.9960533054327234</c:v>
                </c:pt>
                <c:pt idx="17">
                  <c:v>1.3</c:v>
                </c:pt>
                <c:pt idx="18">
                  <c:v>1.3</c:v>
                </c:pt>
                <c:pt idx="19">
                  <c:v>1.3</c:v>
                </c:pt>
                <c:pt idx="20">
                  <c:v>1.3</c:v>
                </c:pt>
                <c:pt idx="21">
                  <c:v>1.3</c:v>
                </c:pt>
                <c:pt idx="22">
                  <c:v>1.9516410355339509</c:v>
                </c:pt>
                <c:pt idx="23">
                  <c:v>1.4223224458119648</c:v>
                </c:pt>
                <c:pt idx="24">
                  <c:v>1.3</c:v>
                </c:pt>
                <c:pt idx="25">
                  <c:v>1.3</c:v>
                </c:pt>
              </c:numCache>
            </c:numRef>
          </c:yVal>
          <c:smooth val="1"/>
          <c:extLst>
            <c:ext xmlns:c16="http://schemas.microsoft.com/office/drawing/2014/chart" uri="{C3380CC4-5D6E-409C-BE32-E72D297353CC}">
              <c16:uniqueId val="{00000001-7F57-4523-B3F4-CA039ED32BF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Diff!$C$11</c:f>
              <c:strCache>
                <c:ptCount val="1"/>
                <c:pt idx="0">
                  <c:v>Vin,1</c:v>
                </c:pt>
              </c:strCache>
            </c:strRef>
          </c:tx>
          <c:spPr>
            <a:ln>
              <a:solidFill>
                <a:schemeClr val="tx1"/>
              </a:solidFill>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C260-41F0-878D-6BE97CE62524}"/>
            </c:ext>
          </c:extLst>
        </c:ser>
        <c:ser>
          <c:idx val="1"/>
          <c:order val="1"/>
          <c:tx>
            <c:strRef>
              <c:f>Diff!$E$11</c:f>
              <c:strCache>
                <c:ptCount val="1"/>
                <c:pt idx="0">
                  <c:v>Vout</c:v>
                </c:pt>
              </c:strCache>
            </c:strRef>
          </c:tx>
          <c:spPr>
            <a:ln>
              <a:solidFill>
                <a:srgbClr val="C00000"/>
              </a:solidFill>
              <a:prstDash val="dash"/>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Diff!$E$12:$E$37</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1-C260-41F0-878D-6BE97CE62524}"/>
            </c:ext>
          </c:extLst>
        </c:ser>
        <c:ser>
          <c:idx val="2"/>
          <c:order val="2"/>
          <c:tx>
            <c:v>Vin,2</c:v>
          </c:tx>
          <c:marker>
            <c:symbol val="none"/>
          </c:marker>
          <c:xVal>
            <c:numRef>
              <c:f>Diff!$B$42:$B$43</c:f>
              <c:numCache>
                <c:formatCode>General</c:formatCode>
                <c:ptCount val="2"/>
                <c:pt idx="0">
                  <c:v>0</c:v>
                </c:pt>
                <c:pt idx="1">
                  <c:v>23.2</c:v>
                </c:pt>
              </c:numCache>
            </c:numRef>
          </c:xVal>
          <c:yVal>
            <c:numRef>
              <c:f>Diff!$C$42:$C$43</c:f>
              <c:numCache>
                <c:formatCode>General</c:formatCode>
                <c:ptCount val="2"/>
                <c:pt idx="0">
                  <c:v>1</c:v>
                </c:pt>
                <c:pt idx="1">
                  <c:v>1</c:v>
                </c:pt>
              </c:numCache>
            </c:numRef>
          </c:yVal>
          <c:smooth val="1"/>
          <c:extLst>
            <c:ext xmlns:c16="http://schemas.microsoft.com/office/drawing/2014/chart" uri="{C3380CC4-5D6E-409C-BE32-E72D297353CC}">
              <c16:uniqueId val="{00000002-C260-41F0-878D-6BE97CE6252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5798538605067778"/>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Inv'!$C$11</c:f>
              <c:strCache>
                <c:ptCount val="1"/>
                <c:pt idx="0">
                  <c:v>Vin,1</c:v>
                </c:pt>
              </c:strCache>
            </c:strRef>
          </c:tx>
          <c:spPr>
            <a:ln>
              <a:solidFill>
                <a:schemeClr val="tx1"/>
              </a:solidFill>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88AD-45CF-9E8A-4D93D85CBDD5}"/>
            </c:ext>
          </c:extLst>
        </c:ser>
        <c:ser>
          <c:idx val="1"/>
          <c:order val="1"/>
          <c:tx>
            <c:strRef>
              <c:f>'Sum Inv'!$E$11</c:f>
              <c:strCache>
                <c:ptCount val="1"/>
                <c:pt idx="0">
                  <c:v>Vout</c:v>
                </c:pt>
              </c:strCache>
            </c:strRef>
          </c:tx>
          <c:spPr>
            <a:ln>
              <a:solidFill>
                <a:srgbClr val="C00000"/>
              </a:solidFill>
              <a:prstDash val="dash"/>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Inv'!$E$12:$E$37</c:f>
              <c:numCache>
                <c:formatCode>General</c:formatCode>
                <c:ptCount val="26"/>
                <c:pt idx="0">
                  <c:v>-6</c:v>
                </c:pt>
                <c:pt idx="1">
                  <c:v>-6.2995002499404844</c:v>
                </c:pt>
                <c:pt idx="2">
                  <c:v>-6.596007992385184</c:v>
                </c:pt>
                <c:pt idx="3">
                  <c:v>-8.1</c:v>
                </c:pt>
                <c:pt idx="4">
                  <c:v>-8.1</c:v>
                </c:pt>
                <c:pt idx="5">
                  <c:v>-5.824877569717259</c:v>
                </c:pt>
                <c:pt idx="6">
                  <c:v>-3.3852726827592354</c:v>
                </c:pt>
                <c:pt idx="7">
                  <c:v>-3.3496360328395403</c:v>
                </c:pt>
                <c:pt idx="8">
                  <c:v>-5.7507317915475102</c:v>
                </c:pt>
                <c:pt idx="9">
                  <c:v>-8.1</c:v>
                </c:pt>
                <c:pt idx="10">
                  <c:v>-8.1</c:v>
                </c:pt>
                <c:pt idx="11">
                  <c:v>-6.6686697423007431</c:v>
                </c:pt>
                <c:pt idx="12">
                  <c:v>-3.9003759372193727</c:v>
                </c:pt>
                <c:pt idx="13">
                  <c:v>-3.0624668125460475</c:v>
                </c:pt>
                <c:pt idx="14">
                  <c:v>-4.9253121532895143</c:v>
                </c:pt>
                <c:pt idx="15">
                  <c:v>-7.776220544121669</c:v>
                </c:pt>
                <c:pt idx="16">
                  <c:v>-8.1</c:v>
                </c:pt>
                <c:pt idx="17">
                  <c:v>-7.4591960665613986</c:v>
                </c:pt>
                <c:pt idx="18">
                  <c:v>-4.5827340408046009</c:v>
                </c:pt>
                <c:pt idx="19">
                  <c:v>-3.009299801875212</c:v>
                </c:pt>
                <c:pt idx="20">
                  <c:v>-4.1855015327811476</c:v>
                </c:pt>
                <c:pt idx="21">
                  <c:v>-7.0299447864596871</c:v>
                </c:pt>
                <c:pt idx="22">
                  <c:v>-8.1</c:v>
                </c:pt>
                <c:pt idx="23">
                  <c:v>-8.1</c:v>
                </c:pt>
                <c:pt idx="24">
                  <c:v>-5.3779907381797241</c:v>
                </c:pt>
                <c:pt idx="25">
                  <c:v>-3.1943702544163837</c:v>
                </c:pt>
              </c:numCache>
            </c:numRef>
          </c:yVal>
          <c:smooth val="1"/>
          <c:extLst>
            <c:ext xmlns:c16="http://schemas.microsoft.com/office/drawing/2014/chart" uri="{C3380CC4-5D6E-409C-BE32-E72D297353CC}">
              <c16:uniqueId val="{00000001-88AD-45CF-9E8A-4D93D85CBDD5}"/>
            </c:ext>
          </c:extLst>
        </c:ser>
        <c:ser>
          <c:idx val="2"/>
          <c:order val="2"/>
          <c:tx>
            <c:v>Vin,2</c:v>
          </c:tx>
          <c:marker>
            <c:symbol val="none"/>
          </c:marker>
          <c:xVal>
            <c:numRef>
              <c:f>'Sum Inv'!$B$42:$B$43</c:f>
              <c:numCache>
                <c:formatCode>General</c:formatCode>
                <c:ptCount val="2"/>
                <c:pt idx="0">
                  <c:v>0</c:v>
                </c:pt>
                <c:pt idx="1">
                  <c:v>23.2</c:v>
                </c:pt>
              </c:numCache>
            </c:numRef>
          </c:xVal>
          <c:yVal>
            <c:numRef>
              <c:f>'Sum Inv'!$C$42:$C$43</c:f>
              <c:numCache>
                <c:formatCode>General</c:formatCode>
                <c:ptCount val="2"/>
                <c:pt idx="0">
                  <c:v>2</c:v>
                </c:pt>
                <c:pt idx="1">
                  <c:v>2</c:v>
                </c:pt>
              </c:numCache>
            </c:numRef>
          </c:yVal>
          <c:smooth val="1"/>
          <c:extLst>
            <c:ext xmlns:c16="http://schemas.microsoft.com/office/drawing/2014/chart" uri="{C3380CC4-5D6E-409C-BE32-E72D297353CC}">
              <c16:uniqueId val="{00000002-88AD-45CF-9E8A-4D93D85CBDD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3492067008993056"/>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 - 3 inputs'!$C$11</c:f>
              <c:strCache>
                <c:ptCount val="1"/>
                <c:pt idx="0">
                  <c:v>Vin,1</c:v>
                </c:pt>
              </c:strCache>
            </c:strRef>
          </c:tx>
          <c:spPr>
            <a:ln>
              <a:solidFill>
                <a:schemeClr val="tx1"/>
              </a:solidFill>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D9F6-4822-A5D0-A3E6462F2424}"/>
            </c:ext>
          </c:extLst>
        </c:ser>
        <c:ser>
          <c:idx val="1"/>
          <c:order val="1"/>
          <c:tx>
            <c:strRef>
              <c:f>'Sum Inv - 3 inputs'!$E$11</c:f>
              <c:strCache>
                <c:ptCount val="1"/>
                <c:pt idx="0">
                  <c:v>Vout</c:v>
                </c:pt>
              </c:strCache>
            </c:strRef>
          </c:tx>
          <c:spPr>
            <a:ln>
              <a:solidFill>
                <a:srgbClr val="C00000"/>
              </a:solidFill>
              <a:prstDash val="dash"/>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inputs'!$E$12:$E$37</c:f>
              <c:numCache>
                <c:formatCode>General</c:formatCode>
                <c:ptCount val="26"/>
                <c:pt idx="0">
                  <c:v>-0.60000000000000009</c:v>
                </c:pt>
                <c:pt idx="1">
                  <c:v>-0.69983341664682819</c:v>
                </c:pt>
                <c:pt idx="2">
                  <c:v>-0.79866933079506119</c:v>
                </c:pt>
                <c:pt idx="3">
                  <c:v>-1.5320390859672264</c:v>
                </c:pt>
                <c:pt idx="4">
                  <c:v>-1.4084964038195902</c:v>
                </c:pt>
                <c:pt idx="5">
                  <c:v>-0.54162585657241991</c:v>
                </c:pt>
                <c:pt idx="6">
                  <c:v>0.27157577241358821</c:v>
                </c:pt>
                <c:pt idx="7">
                  <c:v>0.28345465572015305</c:v>
                </c:pt>
                <c:pt idx="8">
                  <c:v>-0.51691059718250365</c:v>
                </c:pt>
                <c:pt idx="9">
                  <c:v>-1.3936678638491533</c:v>
                </c:pt>
                <c:pt idx="10">
                  <c:v>-1.5407305566797733</c:v>
                </c:pt>
                <c:pt idx="11">
                  <c:v>-0.8228899141002477</c:v>
                </c:pt>
                <c:pt idx="12">
                  <c:v>9.9874687593542288E-2</c:v>
                </c:pt>
                <c:pt idx="13">
                  <c:v>0.37917772915131731</c:v>
                </c:pt>
                <c:pt idx="14">
                  <c:v>-0.24177071776317133</c:v>
                </c:pt>
                <c:pt idx="15">
                  <c:v>-1.1920735147072232</c:v>
                </c:pt>
                <c:pt idx="16">
                  <c:v>-1.5980266527163618</c:v>
                </c:pt>
                <c:pt idx="17">
                  <c:v>-1.0863986888537998</c:v>
                </c:pt>
                <c:pt idx="18">
                  <c:v>-0.12757801360153387</c:v>
                </c:pt>
                <c:pt idx="19">
                  <c:v>0.39690006604159611</c:v>
                </c:pt>
                <c:pt idx="20">
                  <c:v>4.8328224062840763E-3</c:v>
                </c:pt>
                <c:pt idx="21">
                  <c:v>-0.94331492881989543</c:v>
                </c:pt>
                <c:pt idx="22">
                  <c:v>-1.5758205177669757</c:v>
                </c:pt>
                <c:pt idx="23">
                  <c:v>-1.3111612229059824</c:v>
                </c:pt>
                <c:pt idx="24">
                  <c:v>-0.39266357939324126</c:v>
                </c:pt>
                <c:pt idx="25">
                  <c:v>0.3352099151945388</c:v>
                </c:pt>
              </c:numCache>
            </c:numRef>
          </c:yVal>
          <c:smooth val="1"/>
          <c:extLst>
            <c:ext xmlns:c16="http://schemas.microsoft.com/office/drawing/2014/chart" uri="{C3380CC4-5D6E-409C-BE32-E72D297353CC}">
              <c16:uniqueId val="{00000001-D9F6-4822-A5D0-A3E6462F2424}"/>
            </c:ext>
          </c:extLst>
        </c:ser>
        <c:ser>
          <c:idx val="2"/>
          <c:order val="2"/>
          <c:tx>
            <c:v>Vin,2</c:v>
          </c:tx>
          <c:marker>
            <c:symbol val="none"/>
          </c:marker>
          <c:xVal>
            <c:numRef>
              <c:f>'Sum Inv - 3 inputs'!$B$42:$B$43</c:f>
              <c:numCache>
                <c:formatCode>General</c:formatCode>
                <c:ptCount val="2"/>
                <c:pt idx="0">
                  <c:v>0</c:v>
                </c:pt>
                <c:pt idx="1">
                  <c:v>23.2</c:v>
                </c:pt>
              </c:numCache>
            </c:numRef>
          </c:xVal>
          <c:yVal>
            <c:numRef>
              <c:f>'Sum Inv - 3 inputs'!$C$42:$C$43</c:f>
              <c:numCache>
                <c:formatCode>General</c:formatCode>
                <c:ptCount val="2"/>
                <c:pt idx="0">
                  <c:v>0.2</c:v>
                </c:pt>
                <c:pt idx="1">
                  <c:v>0.2</c:v>
                </c:pt>
              </c:numCache>
            </c:numRef>
          </c:yVal>
          <c:smooth val="1"/>
          <c:extLst>
            <c:ext xmlns:c16="http://schemas.microsoft.com/office/drawing/2014/chart" uri="{C3380CC4-5D6E-409C-BE32-E72D297353CC}">
              <c16:uniqueId val="{00000002-D9F6-4822-A5D0-A3E6462F2424}"/>
            </c:ext>
          </c:extLst>
        </c:ser>
        <c:ser>
          <c:idx val="3"/>
          <c:order val="3"/>
          <c:tx>
            <c:strRef>
              <c:f>'Sum Inv - 3 inputs'!$D$41</c:f>
              <c:strCache>
                <c:ptCount val="1"/>
                <c:pt idx="0">
                  <c:v>Vin,3</c:v>
                </c:pt>
              </c:strCache>
            </c:strRef>
          </c:tx>
          <c:marker>
            <c:symbol val="none"/>
          </c:marker>
          <c:xVal>
            <c:numRef>
              <c:f>'Sum Inv - 3 inputs'!$B$42:$B$43</c:f>
              <c:numCache>
                <c:formatCode>General</c:formatCode>
                <c:ptCount val="2"/>
                <c:pt idx="0">
                  <c:v>0</c:v>
                </c:pt>
                <c:pt idx="1">
                  <c:v>23.2</c:v>
                </c:pt>
              </c:numCache>
            </c:numRef>
          </c:xVal>
          <c:yVal>
            <c:numRef>
              <c:f>'Sum Inv - 3 inputs'!$D$42:$D$43</c:f>
              <c:numCache>
                <c:formatCode>General</c:formatCode>
                <c:ptCount val="2"/>
                <c:pt idx="0">
                  <c:v>0.4</c:v>
                </c:pt>
                <c:pt idx="1">
                  <c:v>0.4</c:v>
                </c:pt>
              </c:numCache>
            </c:numRef>
          </c:yVal>
          <c:smooth val="1"/>
          <c:extLst>
            <c:ext xmlns:c16="http://schemas.microsoft.com/office/drawing/2014/chart" uri="{C3380CC4-5D6E-409C-BE32-E72D297353CC}">
              <c16:uniqueId val="{00000001-CD35-4CAE-B964-6281195DC87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4902032594762857"/>
          <c:y val="0.65650063582339035"/>
          <c:w val="0.19362827321003478"/>
          <c:h val="0.34349936417660965"/>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Non-Inv'!$C$10</c:f>
              <c:strCache>
                <c:ptCount val="1"/>
                <c:pt idx="0">
                  <c:v>Vin</c:v>
                </c:pt>
              </c:strCache>
            </c:strRef>
          </c:tx>
          <c:spPr>
            <a:ln>
              <a:solidFill>
                <a:schemeClr val="tx1"/>
              </a:solidFill>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34DC-460D-BFC5-842C460B9837}"/>
            </c:ext>
          </c:extLst>
        </c:ser>
        <c:ser>
          <c:idx val="1"/>
          <c:order val="1"/>
          <c:tx>
            <c:strRef>
              <c:f>'Sum Non-Inv'!$E$10</c:f>
              <c:strCache>
                <c:ptCount val="1"/>
                <c:pt idx="0">
                  <c:v>Vout</c:v>
                </c:pt>
              </c:strCache>
            </c:strRef>
          </c:tx>
          <c:spPr>
            <a:ln>
              <a:solidFill>
                <a:srgbClr val="C00000"/>
              </a:solidFill>
              <a:prstDash val="dash"/>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Non-Inv'!$E$11:$E$36</c:f>
              <c:numCache>
                <c:formatCode>General</c:formatCode>
                <c:ptCount val="26"/>
                <c:pt idx="0">
                  <c:v>1.65</c:v>
                </c:pt>
                <c:pt idx="1">
                  <c:v>1.9794502749345331</c:v>
                </c:pt>
                <c:pt idx="2">
                  <c:v>2.305608791623702</c:v>
                </c:pt>
                <c:pt idx="3">
                  <c:v>3.7</c:v>
                </c:pt>
                <c:pt idx="4">
                  <c:v>3.7</c:v>
                </c:pt>
                <c:pt idx="5">
                  <c:v>1.4573653266889857</c:v>
                </c:pt>
                <c:pt idx="6">
                  <c:v>-1.226200048964841</c:v>
                </c:pt>
                <c:pt idx="7">
                  <c:v>-1.2654003638765052</c:v>
                </c:pt>
                <c:pt idx="8">
                  <c:v>1.3758049707022619</c:v>
                </c:pt>
                <c:pt idx="9">
                  <c:v>3.7</c:v>
                </c:pt>
                <c:pt idx="10">
                  <c:v>3.7</c:v>
                </c:pt>
                <c:pt idx="11">
                  <c:v>2.385536716530817</c:v>
                </c:pt>
                <c:pt idx="12">
                  <c:v>-0.65958646905868967</c:v>
                </c:pt>
                <c:pt idx="13">
                  <c:v>-1.5812865061993473</c:v>
                </c:pt>
                <c:pt idx="14">
                  <c:v>0.46784336861846526</c:v>
                </c:pt>
                <c:pt idx="15">
                  <c:v>3.603842598533836</c:v>
                </c:pt>
                <c:pt idx="16">
                  <c:v>3.7</c:v>
                </c:pt>
                <c:pt idx="17">
                  <c:v>3.2551156732175386</c:v>
                </c:pt>
                <c:pt idx="18">
                  <c:v>9.1007444885061656E-2</c:v>
                </c:pt>
                <c:pt idx="19">
                  <c:v>-1.6397702179372671</c:v>
                </c:pt>
                <c:pt idx="20">
                  <c:v>-0.34594831394073755</c:v>
                </c:pt>
                <c:pt idx="21">
                  <c:v>2.7829392651056546</c:v>
                </c:pt>
                <c:pt idx="22">
                  <c:v>3.7</c:v>
                </c:pt>
                <c:pt idx="23">
                  <c:v>3.7</c:v>
                </c:pt>
                <c:pt idx="24">
                  <c:v>0.96578981199769598</c:v>
                </c:pt>
                <c:pt idx="25">
                  <c:v>-1.4361927201419782</c:v>
                </c:pt>
              </c:numCache>
            </c:numRef>
          </c:yVal>
          <c:smooth val="1"/>
          <c:extLst>
            <c:ext xmlns:c16="http://schemas.microsoft.com/office/drawing/2014/chart" uri="{C3380CC4-5D6E-409C-BE32-E72D297353CC}">
              <c16:uniqueId val="{00000001-34DC-460D-BFC5-842C460B983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 - Calculate R'!$C$10</c:f>
              <c:strCache>
                <c:ptCount val="1"/>
                <c:pt idx="0">
                  <c:v>Vin</c:v>
                </c:pt>
              </c:strCache>
            </c:strRef>
          </c:tx>
          <c:spPr>
            <a:ln>
              <a:solidFill>
                <a:schemeClr val="tx1"/>
              </a:solidFill>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R'!$C$11:$C$36</c:f>
              <c:numCache>
                <c:formatCode>General</c:formatCode>
                <c:ptCount val="26"/>
                <c:pt idx="0">
                  <c:v>0</c:v>
                </c:pt>
                <c:pt idx="1">
                  <c:v>4.9916708323414077E-2</c:v>
                </c:pt>
                <c:pt idx="2">
                  <c:v>9.9334665397530608E-2</c:v>
                </c:pt>
                <c:pt idx="3">
                  <c:v>0.46601954298361314</c:v>
                </c:pt>
                <c:pt idx="4">
                  <c:v>0.40424820190979505</c:v>
                </c:pt>
                <c:pt idx="5">
                  <c:v>-2.9187071713790043E-2</c:v>
                </c:pt>
                <c:pt idx="6">
                  <c:v>-0.4357878862067941</c:v>
                </c:pt>
                <c:pt idx="7">
                  <c:v>-0.44172732786007657</c:v>
                </c:pt>
                <c:pt idx="8">
                  <c:v>-4.1544701408748198E-2</c:v>
                </c:pt>
                <c:pt idx="9">
                  <c:v>0.39683393192457656</c:v>
                </c:pt>
                <c:pt idx="10">
                  <c:v>0.47036527833988656</c:v>
                </c:pt>
                <c:pt idx="11">
                  <c:v>0.11144495705012382</c:v>
                </c:pt>
                <c:pt idx="12">
                  <c:v>-0.34993734379677116</c:v>
                </c:pt>
                <c:pt idx="13">
                  <c:v>-0.4895888645756587</c:v>
                </c:pt>
                <c:pt idx="14">
                  <c:v>-0.17911464111841435</c:v>
                </c:pt>
                <c:pt idx="15">
                  <c:v>0.29603675735361151</c:v>
                </c:pt>
                <c:pt idx="16">
                  <c:v>0.49901332635818085</c:v>
                </c:pt>
                <c:pt idx="17">
                  <c:v>0.24319934442689983</c:v>
                </c:pt>
                <c:pt idx="18">
                  <c:v>-0.23621099319923308</c:v>
                </c:pt>
                <c:pt idx="19">
                  <c:v>-0.49845003302079804</c:v>
                </c:pt>
                <c:pt idx="20">
                  <c:v>-0.30241641120314205</c:v>
                </c:pt>
                <c:pt idx="21">
                  <c:v>0.1716574644099477</c:v>
                </c:pt>
                <c:pt idx="22">
                  <c:v>0.48791025888348777</c:v>
                </c:pt>
                <c:pt idx="23">
                  <c:v>0.35558061145299119</c:v>
                </c:pt>
                <c:pt idx="24">
                  <c:v>-0.10366821030337939</c:v>
                </c:pt>
                <c:pt idx="25">
                  <c:v>-0.46760495759726944</c:v>
                </c:pt>
              </c:numCache>
            </c:numRef>
          </c:yVal>
          <c:smooth val="1"/>
          <c:extLst>
            <c:ext xmlns:c16="http://schemas.microsoft.com/office/drawing/2014/chart" uri="{C3380CC4-5D6E-409C-BE32-E72D297353CC}">
              <c16:uniqueId val="{00000000-981F-4E1F-A641-885C349E5C49}"/>
            </c:ext>
          </c:extLst>
        </c:ser>
        <c:ser>
          <c:idx val="1"/>
          <c:order val="1"/>
          <c:tx>
            <c:strRef>
              <c:f>'Sum Non-Inv - Calculate R'!$E$10</c:f>
              <c:strCache>
                <c:ptCount val="1"/>
                <c:pt idx="0">
                  <c:v>Vout</c:v>
                </c:pt>
              </c:strCache>
            </c:strRef>
          </c:tx>
          <c:spPr>
            <a:ln>
              <a:solidFill>
                <a:srgbClr val="C00000"/>
              </a:solidFill>
              <a:prstDash val="dash"/>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R'!$E$11:$E$36</c:f>
              <c:numCache>
                <c:formatCode>General</c:formatCode>
                <c:ptCount val="26"/>
                <c:pt idx="0">
                  <c:v>1.65</c:v>
                </c:pt>
                <c:pt idx="1">
                  <c:v>1.8147251374672664</c:v>
                </c:pt>
                <c:pt idx="2">
                  <c:v>1.9778043958118512</c:v>
                </c:pt>
                <c:pt idx="3">
                  <c:v>3.1878644918459234</c:v>
                </c:pt>
                <c:pt idx="4">
                  <c:v>2.9840190663023236</c:v>
                </c:pt>
                <c:pt idx="5">
                  <c:v>1.5536826633444929</c:v>
                </c:pt>
                <c:pt idx="6">
                  <c:v>1.2</c:v>
                </c:pt>
                <c:pt idx="7">
                  <c:v>1.2</c:v>
                </c:pt>
                <c:pt idx="8">
                  <c:v>1.5129024853511308</c:v>
                </c:pt>
                <c:pt idx="9">
                  <c:v>2.9595519753511028</c:v>
                </c:pt>
                <c:pt idx="10">
                  <c:v>3.2022054185216255</c:v>
                </c:pt>
                <c:pt idx="11">
                  <c:v>2.0177683582654082</c:v>
                </c:pt>
                <c:pt idx="12">
                  <c:v>1.2</c:v>
                </c:pt>
                <c:pt idx="13">
                  <c:v>1.2</c:v>
                </c:pt>
                <c:pt idx="14">
                  <c:v>1.2</c:v>
                </c:pt>
                <c:pt idx="15">
                  <c:v>2.6269212992669182</c:v>
                </c:pt>
                <c:pt idx="16">
                  <c:v>3.2967439769819968</c:v>
                </c:pt>
                <c:pt idx="17">
                  <c:v>2.4525578366087695</c:v>
                </c:pt>
                <c:pt idx="18">
                  <c:v>1.2</c:v>
                </c:pt>
                <c:pt idx="19">
                  <c:v>1.2</c:v>
                </c:pt>
                <c:pt idx="20">
                  <c:v>1.2</c:v>
                </c:pt>
                <c:pt idx="21">
                  <c:v>2.216469632552827</c:v>
                </c:pt>
                <c:pt idx="22">
                  <c:v>3.2601038543155099</c:v>
                </c:pt>
                <c:pt idx="23">
                  <c:v>2.8234160177948704</c:v>
                </c:pt>
                <c:pt idx="24">
                  <c:v>1.3078949059988481</c:v>
                </c:pt>
                <c:pt idx="25">
                  <c:v>1.2</c:v>
                </c:pt>
              </c:numCache>
            </c:numRef>
          </c:yVal>
          <c:smooth val="1"/>
          <c:extLst>
            <c:ext xmlns:c16="http://schemas.microsoft.com/office/drawing/2014/chart" uri="{C3380CC4-5D6E-409C-BE32-E72D297353CC}">
              <c16:uniqueId val="{00000001-981F-4E1F-A641-885C349E5C49}"/>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Transimpedance!$C$9</c:f>
              <c:strCache>
                <c:ptCount val="1"/>
                <c:pt idx="0">
                  <c:v>Iin(+) µA</c:v>
                </c:pt>
              </c:strCache>
            </c:strRef>
          </c:tx>
          <c:spPr>
            <a:ln>
              <a:solidFill>
                <a:schemeClr val="tx1"/>
              </a:solidFill>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A637-4610-A33E-8248D6ABF8CD}"/>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Transimpedance!$E$9</c:f>
              <c:strCache>
                <c:ptCount val="1"/>
                <c:pt idx="0">
                  <c:v>Vout</c:v>
                </c:pt>
              </c:strCache>
            </c:strRef>
          </c:tx>
          <c:spPr>
            <a:ln>
              <a:solidFill>
                <a:srgbClr val="C00000"/>
              </a:solidFill>
              <a:prstDash val="dash"/>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Transimpedance!$E$10:$E$35</c:f>
              <c:numCache>
                <c:formatCode>General</c:formatCode>
                <c:ptCount val="26"/>
                <c:pt idx="0">
                  <c:v>2</c:v>
                </c:pt>
                <c:pt idx="1">
                  <c:v>2.1996668332936564</c:v>
                </c:pt>
                <c:pt idx="2">
                  <c:v>2.3973386615901227</c:v>
                </c:pt>
                <c:pt idx="3">
                  <c:v>3.8640781719344526</c:v>
                </c:pt>
                <c:pt idx="4">
                  <c:v>3.6169928076391802</c:v>
                </c:pt>
                <c:pt idx="5">
                  <c:v>1.8832517131448399</c:v>
                </c:pt>
                <c:pt idx="6">
                  <c:v>0.25684845517282362</c:v>
                </c:pt>
                <c:pt idx="7">
                  <c:v>0.23309068855969373</c:v>
                </c:pt>
                <c:pt idx="8">
                  <c:v>1.8338211943650071</c:v>
                </c:pt>
                <c:pt idx="9">
                  <c:v>3.5873357276983064</c:v>
                </c:pt>
                <c:pt idx="10">
                  <c:v>3.8814611133595465</c:v>
                </c:pt>
                <c:pt idx="11">
                  <c:v>2.4457798282004952</c:v>
                </c:pt>
                <c:pt idx="12">
                  <c:v>0.60025062481291536</c:v>
                </c:pt>
                <c:pt idx="13">
                  <c:v>4.1644541697365201E-2</c:v>
                </c:pt>
                <c:pt idx="14">
                  <c:v>1.2835414355263426</c:v>
                </c:pt>
                <c:pt idx="15">
                  <c:v>3.1841470294144463</c:v>
                </c:pt>
                <c:pt idx="16">
                  <c:v>3.9960533054327239</c:v>
                </c:pt>
                <c:pt idx="17">
                  <c:v>2.9727973777075993</c:v>
                </c:pt>
                <c:pt idx="18">
                  <c:v>1.0551560272030676</c:v>
                </c:pt>
                <c:pt idx="19">
                  <c:v>6.1998679168078219E-3</c:v>
                </c:pt>
                <c:pt idx="20">
                  <c:v>0.79033435518743178</c:v>
                </c:pt>
                <c:pt idx="21">
                  <c:v>2.6866298576397907</c:v>
                </c:pt>
                <c:pt idx="22">
                  <c:v>3.9516410355339513</c:v>
                </c:pt>
                <c:pt idx="23">
                  <c:v>3.4223224458119645</c:v>
                </c:pt>
                <c:pt idx="24">
                  <c:v>1.5853271587864826</c:v>
                </c:pt>
                <c:pt idx="25">
                  <c:v>0.12958016961092222</c:v>
                </c:pt>
              </c:numCache>
            </c:numRef>
          </c:yVal>
          <c:smooth val="1"/>
          <c:extLst>
            <c:ext xmlns:c16="http://schemas.microsoft.com/office/drawing/2014/chart" uri="{C3380CC4-5D6E-409C-BE32-E72D297353CC}">
              <c16:uniqueId val="{00000001-A637-4610-A33E-8248D6ABF8CD}"/>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 + Bias'!$C$9</c:f>
              <c:strCache>
                <c:ptCount val="1"/>
                <c:pt idx="0">
                  <c:v>Iin(+) µA</c:v>
                </c:pt>
              </c:strCache>
            </c:strRef>
          </c:tx>
          <c:spPr>
            <a:ln>
              <a:solidFill>
                <a:schemeClr val="tx1"/>
              </a:solidFill>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Bias'!$C$10:$C$35</c:f>
              <c:numCache>
                <c:formatCode>General</c:formatCode>
                <c:ptCount val="26"/>
                <c:pt idx="0">
                  <c:v>5</c:v>
                </c:pt>
                <c:pt idx="1">
                  <c:v>5.4991670832341413</c:v>
                </c:pt>
                <c:pt idx="2">
                  <c:v>5.9933466539753066</c:v>
                </c:pt>
                <c:pt idx="3">
                  <c:v>9.660195429836131</c:v>
                </c:pt>
                <c:pt idx="4">
                  <c:v>9.0424820190979496</c:v>
                </c:pt>
                <c:pt idx="5">
                  <c:v>4.7081292828620995</c:v>
                </c:pt>
                <c:pt idx="6">
                  <c:v>0.64212113793205905</c:v>
                </c:pt>
                <c:pt idx="7">
                  <c:v>0.58272672139923432</c:v>
                </c:pt>
                <c:pt idx="8">
                  <c:v>4.5845529859125183</c:v>
                </c:pt>
                <c:pt idx="9">
                  <c:v>8.9683393192457661</c:v>
                </c:pt>
                <c:pt idx="10">
                  <c:v>9.7036527833988657</c:v>
                </c:pt>
                <c:pt idx="11">
                  <c:v>6.1144495705012378</c:v>
                </c:pt>
                <c:pt idx="12">
                  <c:v>1.5006265620322883</c:v>
                </c:pt>
                <c:pt idx="13">
                  <c:v>0.104111354243413</c:v>
                </c:pt>
                <c:pt idx="14">
                  <c:v>3.2088535888158565</c:v>
                </c:pt>
                <c:pt idx="15">
                  <c:v>7.9603675735361161</c:v>
                </c:pt>
                <c:pt idx="16">
                  <c:v>9.990133263581809</c:v>
                </c:pt>
                <c:pt idx="17">
                  <c:v>7.4319934442689988</c:v>
                </c:pt>
                <c:pt idx="18">
                  <c:v>2.6378900680076689</c:v>
                </c:pt>
                <c:pt idx="19">
                  <c:v>1.5499669792019555E-2</c:v>
                </c:pt>
                <c:pt idx="20">
                  <c:v>1.9758358879685796</c:v>
                </c:pt>
                <c:pt idx="21">
                  <c:v>6.7165746440994765</c:v>
                </c:pt>
                <c:pt idx="22">
                  <c:v>9.8791025888348791</c:v>
                </c:pt>
                <c:pt idx="23">
                  <c:v>8.5558061145299114</c:v>
                </c:pt>
                <c:pt idx="24">
                  <c:v>3.9633178969662062</c:v>
                </c:pt>
                <c:pt idx="25">
                  <c:v>0.32395042402730556</c:v>
                </c:pt>
              </c:numCache>
            </c:numRef>
          </c:yVal>
          <c:smooth val="1"/>
          <c:extLst>
            <c:ext xmlns:c16="http://schemas.microsoft.com/office/drawing/2014/chart" uri="{C3380CC4-5D6E-409C-BE32-E72D297353CC}">
              <c16:uniqueId val="{00000000-E3BB-4126-9512-2F0B6C51F9EE}"/>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 + Bias'!$E$9</c:f>
              <c:strCache>
                <c:ptCount val="1"/>
                <c:pt idx="0">
                  <c:v>Vout</c:v>
                </c:pt>
              </c:strCache>
            </c:strRef>
          </c:tx>
          <c:spPr>
            <a:ln>
              <a:solidFill>
                <a:srgbClr val="C00000"/>
              </a:solidFill>
              <a:prstDash val="dash"/>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Bias'!$E$10:$E$35</c:f>
              <c:numCache>
                <c:formatCode>General</c:formatCode>
                <c:ptCount val="26"/>
                <c:pt idx="0">
                  <c:v>4.875</c:v>
                </c:pt>
                <c:pt idx="1">
                  <c:v>4.9124375312425608</c:v>
                </c:pt>
                <c:pt idx="2">
                  <c:v>4.9495009990481478</c:v>
                </c:pt>
                <c:pt idx="3">
                  <c:v>5.2245146572377097</c:v>
                </c:pt>
                <c:pt idx="4">
                  <c:v>5.178186151432346</c:v>
                </c:pt>
                <c:pt idx="5">
                  <c:v>4.8531096962146574</c:v>
                </c:pt>
                <c:pt idx="6">
                  <c:v>4.5481590853449045</c:v>
                </c:pt>
                <c:pt idx="7">
                  <c:v>4.5437045041049426</c:v>
                </c:pt>
                <c:pt idx="8">
                  <c:v>4.8438414739434386</c:v>
                </c:pt>
                <c:pt idx="9">
                  <c:v>5.1726254489434327</c:v>
                </c:pt>
                <c:pt idx="10">
                  <c:v>5.2277739587549146</c:v>
                </c:pt>
                <c:pt idx="11">
                  <c:v>4.9585837177875929</c:v>
                </c:pt>
                <c:pt idx="12">
                  <c:v>4.6125469921524216</c:v>
                </c:pt>
                <c:pt idx="13">
                  <c:v>4.5078083515682561</c:v>
                </c:pt>
                <c:pt idx="14">
                  <c:v>4.7406640191611888</c:v>
                </c:pt>
                <c:pt idx="15">
                  <c:v>5.0970275680152088</c:v>
                </c:pt>
                <c:pt idx="16">
                  <c:v>5.2492599947686358</c:v>
                </c:pt>
                <c:pt idx="17">
                  <c:v>5.0573995083201746</c:v>
                </c:pt>
                <c:pt idx="18">
                  <c:v>4.6978417551005753</c:v>
                </c:pt>
                <c:pt idx="19">
                  <c:v>4.5011624752344011</c:v>
                </c:pt>
                <c:pt idx="20">
                  <c:v>4.6481876915976432</c:v>
                </c:pt>
                <c:pt idx="21">
                  <c:v>5.0037430983074609</c:v>
                </c:pt>
                <c:pt idx="22">
                  <c:v>5.2409326941626162</c:v>
                </c:pt>
                <c:pt idx="23">
                  <c:v>5.1416854585897429</c:v>
                </c:pt>
                <c:pt idx="24">
                  <c:v>4.7972488422724657</c:v>
                </c:pt>
                <c:pt idx="25">
                  <c:v>4.524296281802048</c:v>
                </c:pt>
              </c:numCache>
            </c:numRef>
          </c:yVal>
          <c:smooth val="1"/>
          <c:extLst>
            <c:ext xmlns:c16="http://schemas.microsoft.com/office/drawing/2014/chart" uri="{C3380CC4-5D6E-409C-BE32-E72D297353CC}">
              <c16:uniqueId val="{00000001-E3BB-4126-9512-2F0B6C51F9EE}"/>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LPF'!$C$16</c:f>
              <c:strCache>
                <c:ptCount val="1"/>
                <c:pt idx="0">
                  <c:v>Vin(+)</c:v>
                </c:pt>
              </c:strCache>
            </c:strRef>
          </c:tx>
          <c:spPr>
            <a:ln>
              <a:solidFill>
                <a:schemeClr val="tx1"/>
              </a:solidFill>
            </a:ln>
          </c:spPr>
          <c:marker>
            <c:symbol val="none"/>
          </c:marker>
          <c:xVal>
            <c:numRef>
              <c:f>'Unity LPF'!$B$17:$B$42</c:f>
              <c:numCache>
                <c:formatCode>General</c:formatCode>
                <c:ptCount val="26"/>
                <c:pt idx="0">
                  <c:v>0</c:v>
                </c:pt>
                <c:pt idx="1">
                  <c:v>1.0053156062681428E-5</c:v>
                </c:pt>
                <c:pt idx="2">
                  <c:v>2.0106312125362855E-5</c:v>
                </c:pt>
                <c:pt idx="3">
                  <c:v>3.0159468188044283E-5</c:v>
                </c:pt>
                <c:pt idx="4">
                  <c:v>4.0212624250725711E-5</c:v>
                </c:pt>
                <c:pt idx="5">
                  <c:v>5.0265780313407138E-5</c:v>
                </c:pt>
                <c:pt idx="6">
                  <c:v>6.0318936376088566E-5</c:v>
                </c:pt>
                <c:pt idx="7">
                  <c:v>7.0372092438769987E-5</c:v>
                </c:pt>
                <c:pt idx="8">
                  <c:v>8.0425248501451421E-5</c:v>
                </c:pt>
                <c:pt idx="9">
                  <c:v>9.0478404564132856E-5</c:v>
                </c:pt>
                <c:pt idx="10">
                  <c:v>1.0053156062681429E-4</c:v>
                </c:pt>
                <c:pt idx="11">
                  <c:v>1.1058471668949572E-4</c:v>
                </c:pt>
                <c:pt idx="12">
                  <c:v>1.2063787275217716E-4</c:v>
                </c:pt>
                <c:pt idx="13">
                  <c:v>1.3069102881485859E-4</c:v>
                </c:pt>
                <c:pt idx="14">
                  <c:v>1.4074418487754003E-4</c:v>
                </c:pt>
                <c:pt idx="15">
                  <c:v>1.5079734094022146E-4</c:v>
                </c:pt>
                <c:pt idx="16">
                  <c:v>1.608504970029029E-4</c:v>
                </c:pt>
                <c:pt idx="17">
                  <c:v>1.7090365306558433E-4</c:v>
                </c:pt>
                <c:pt idx="18">
                  <c:v>1.8095680912826577E-4</c:v>
                </c:pt>
                <c:pt idx="19">
                  <c:v>1.910099651909472E-4</c:v>
                </c:pt>
                <c:pt idx="20">
                  <c:v>2.0106312125362863E-4</c:v>
                </c:pt>
                <c:pt idx="21">
                  <c:v>2.1111627731631007E-4</c:v>
                </c:pt>
                <c:pt idx="22">
                  <c:v>2.211694333789915E-4</c:v>
                </c:pt>
                <c:pt idx="23">
                  <c:v>2.3122258944167294E-4</c:v>
                </c:pt>
                <c:pt idx="24">
                  <c:v>2.4127574550435437E-4</c:v>
                </c:pt>
                <c:pt idx="25">
                  <c:v>2.5132890156703581E-4</c:v>
                </c:pt>
              </c:numCache>
            </c:numRef>
          </c:xVal>
          <c:yVal>
            <c:numRef>
              <c:f>'Unity LPF'!$C$17:$C$42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-0.99802672842827145</c:v>
                </c:pt>
                <c:pt idx="12">
                  <c:v>-0.48175367410171321</c:v>
                </c:pt>
                <c:pt idx="13">
                  <c:v>0.48175367410171699</c:v>
                </c:pt>
                <c:pt idx="14">
                  <c:v>0.99802672842827178</c:v>
                </c:pt>
                <c:pt idx="15">
                  <c:v>0.58778525229246925</c:v>
                </c:pt>
                <c:pt idx="16">
                  <c:v>-0.3681245526846787</c:v>
                </c:pt>
                <c:pt idx="17">
                  <c:v>-0.98228725072868905</c:v>
                </c:pt>
                <c:pt idx="18">
                  <c:v>-0.68454710592868606</c:v>
                </c:pt>
                <c:pt idx="19">
                  <c:v>0.24868988716485957</c:v>
                </c:pt>
                <c:pt idx="20">
                  <c:v>0.95105651629515553</c:v>
                </c:pt>
                <c:pt idx="21">
                  <c:v>0.77051324277578437</c:v>
                </c:pt>
                <c:pt idx="22">
                  <c:v>-0.12533323356431325</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3DB0-4E3E-8965-FAA15109E43F}"/>
            </c:ext>
          </c:extLst>
        </c:ser>
        <c:ser>
          <c:idx val="1"/>
          <c:order val="1"/>
          <c:tx>
            <c:strRef>
              <c:f>'Unity LPF'!$E$16</c:f>
              <c:strCache>
                <c:ptCount val="1"/>
                <c:pt idx="0">
                  <c:v>Vout</c:v>
                </c:pt>
              </c:strCache>
            </c:strRef>
          </c:tx>
          <c:spPr>
            <a:ln>
              <a:solidFill>
                <a:srgbClr val="C00000"/>
              </a:solidFill>
              <a:prstDash val="dash"/>
            </a:ln>
          </c:spPr>
          <c:marker>
            <c:symbol val="none"/>
          </c:marker>
          <c:xVal>
            <c:numRef>
              <c:f>'Unity LPF'!$B$17:$B$42</c:f>
              <c:numCache>
                <c:formatCode>General</c:formatCode>
                <c:ptCount val="26"/>
                <c:pt idx="0">
                  <c:v>0</c:v>
                </c:pt>
                <c:pt idx="1">
                  <c:v>1.0053156062681428E-5</c:v>
                </c:pt>
                <c:pt idx="2">
                  <c:v>2.0106312125362855E-5</c:v>
                </c:pt>
                <c:pt idx="3">
                  <c:v>3.0159468188044283E-5</c:v>
                </c:pt>
                <c:pt idx="4">
                  <c:v>4.0212624250725711E-5</c:v>
                </c:pt>
                <c:pt idx="5">
                  <c:v>5.0265780313407138E-5</c:v>
                </c:pt>
                <c:pt idx="6">
                  <c:v>6.0318936376088566E-5</c:v>
                </c:pt>
                <c:pt idx="7">
                  <c:v>7.0372092438769987E-5</c:v>
                </c:pt>
                <c:pt idx="8">
                  <c:v>8.0425248501451421E-5</c:v>
                </c:pt>
                <c:pt idx="9">
                  <c:v>9.0478404564132856E-5</c:v>
                </c:pt>
                <c:pt idx="10">
                  <c:v>1.0053156062681429E-4</c:v>
                </c:pt>
                <c:pt idx="11">
                  <c:v>1.1058471668949572E-4</c:v>
                </c:pt>
                <c:pt idx="12">
                  <c:v>1.2063787275217716E-4</c:v>
                </c:pt>
                <c:pt idx="13">
                  <c:v>1.3069102881485859E-4</c:v>
                </c:pt>
                <c:pt idx="14">
                  <c:v>1.4074418487754003E-4</c:v>
                </c:pt>
                <c:pt idx="15">
                  <c:v>1.5079734094022146E-4</c:v>
                </c:pt>
                <c:pt idx="16">
                  <c:v>1.608504970029029E-4</c:v>
                </c:pt>
                <c:pt idx="17">
                  <c:v>1.7090365306558433E-4</c:v>
                </c:pt>
                <c:pt idx="18">
                  <c:v>1.8095680912826577E-4</c:v>
                </c:pt>
                <c:pt idx="19">
                  <c:v>1.910099651909472E-4</c:v>
                </c:pt>
                <c:pt idx="20">
                  <c:v>2.0106312125362863E-4</c:v>
                </c:pt>
                <c:pt idx="21">
                  <c:v>2.1111627731631007E-4</c:v>
                </c:pt>
                <c:pt idx="22">
                  <c:v>2.211694333789915E-4</c:v>
                </c:pt>
                <c:pt idx="23">
                  <c:v>2.3122258944167294E-4</c:v>
                </c:pt>
                <c:pt idx="24">
                  <c:v>2.4127574550435437E-4</c:v>
                </c:pt>
                <c:pt idx="25">
                  <c:v>2.5132890156703581E-4</c:v>
                </c:pt>
              </c:numCache>
            </c:numRef>
          </c:xVal>
          <c:yVal>
            <c:numRef>
              <c:f>'Unity LPF'!$E$17:$E$42</c:f>
              <c:numCache>
                <c:formatCode>General</c:formatCode>
                <c:ptCount val="26"/>
                <c:pt idx="0">
                  <c:v>-9.9010476070841222E-2</c:v>
                </c:pt>
                <c:pt idx="1">
                  <c:v>-4.4692685539105291E-2</c:v>
                </c:pt>
                <c:pt idx="2">
                  <c:v>5.1115399167995346E-2</c:v>
                </c:pt>
                <c:pt idx="3">
                  <c:v>9.9470686559623336E-2</c:v>
                </c:pt>
                <c:pt idx="4">
                  <c:v>5.5482719179211354E-2</c:v>
                </c:pt>
                <c:pt idx="5">
                  <c:v>-4.001243137059024E-2</c:v>
                </c:pt>
                <c:pt idx="6">
                  <c:v>-9.836218490045226E-2</c:v>
                </c:pt>
                <c:pt idx="7">
                  <c:v>-6.5397757194091383E-2</c:v>
                </c:pt>
                <c:pt idx="8">
                  <c:v>2.8278443628203073E-2</c:v>
                </c:pt>
                <c:pt idx="9">
                  <c:v>9.5702452826679954E-2</c:v>
                </c:pt>
                <c:pt idx="10">
                  <c:v>7.4281433511293821E-2</c:v>
                </c:pt>
                <c:pt idx="11">
                  <c:v>-1.6098487937076085E-2</c:v>
                </c:pt>
                <c:pt idx="12">
                  <c:v>-9.1533435901956756E-2</c:v>
                </c:pt>
                <c:pt idx="13">
                  <c:v>-8.1993647248445697E-2</c:v>
                </c:pt>
                <c:pt idx="14">
                  <c:v>3.6646494744106027E-3</c:v>
                </c:pt>
                <c:pt idx="15">
                  <c:v>8.5920882013635583E-2</c:v>
                </c:pt>
                <c:pt idx="16">
                  <c:v>8.8412772187858951E-2</c:v>
                </c:pt>
                <c:pt idx="17">
                  <c:v>8.8269826996218159E-3</c:v>
                </c:pt>
                <c:pt idx="18">
                  <c:v>-7.8953304489312301E-2</c:v>
                </c:pt>
                <c:pt idx="19">
                  <c:v>-9.3437574894639719E-2</c:v>
                </c:pt>
                <c:pt idx="20">
                  <c:v>-2.1179408083496984E-2</c:v>
                </c:pt>
                <c:pt idx="21">
                  <c:v>7.0740586188774629E-2</c:v>
                </c:pt>
                <c:pt idx="22">
                  <c:v>9.6988811228430324E-2</c:v>
                </c:pt>
                <c:pt idx="23">
                  <c:v>3.3197821549930631E-2</c:v>
                </c:pt>
                <c:pt idx="24">
                  <c:v>-6.1412246585662411E-2</c:v>
                </c:pt>
                <c:pt idx="25">
                  <c:v>-9.9010476070841125E-2</c:v>
                </c:pt>
              </c:numCache>
            </c:numRef>
          </c:yVal>
          <c:smooth val="1"/>
          <c:extLst>
            <c:ext xmlns:c16="http://schemas.microsoft.com/office/drawing/2014/chart" uri="{C3380CC4-5D6E-409C-BE32-E72D297353CC}">
              <c16:uniqueId val="{00000001-3DB0-4E3E-8965-FAA15109E43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LPF'!$D$46</c:f>
              <c:strCache>
                <c:ptCount val="1"/>
                <c:pt idx="0">
                  <c:v>Gain,dB</c:v>
                </c:pt>
              </c:strCache>
            </c:strRef>
          </c:tx>
          <c:spPr>
            <a:ln w="19050" cap="rnd">
              <a:solidFill>
                <a:srgbClr val="C00000"/>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LPF'!$D$47:$D$101</c:f>
              <c:numCache>
                <c:formatCode>General</c:formatCode>
                <c:ptCount val="55"/>
                <c:pt idx="0">
                  <c:v>-1.7145255528834613E-6</c:v>
                </c:pt>
                <c:pt idx="1">
                  <c:v>-6.8580981524042927E-6</c:v>
                </c:pt>
                <c:pt idx="2">
                  <c:v>-1.5430705615359815E-5</c:v>
                </c:pt>
                <c:pt idx="3">
                  <c:v>-2.7432327633425711E-5</c:v>
                </c:pt>
                <c:pt idx="4">
                  <c:v>-4.2862935778801728E-5</c:v>
                </c:pt>
                <c:pt idx="5">
                  <c:v>-6.1722493504979615E-5</c:v>
                </c:pt>
                <c:pt idx="6">
                  <c:v>-8.4010956137811616E-5</c:v>
                </c:pt>
                <c:pt idx="7">
                  <c:v>-1.0972827088484521E-4</c:v>
                </c:pt>
                <c:pt idx="8">
                  <c:v>-1.3887437683302977E-4</c:v>
                </c:pt>
                <c:pt idx="9">
                  <c:v>-1.714492049482957E-4</c:v>
                </c:pt>
                <c:pt idx="10">
                  <c:v>-6.8575621307809048E-4</c:v>
                </c:pt>
                <c:pt idx="11">
                  <c:v>-1.5427992362874524E-3</c:v>
                </c:pt>
                <c:pt idx="12">
                  <c:v>-2.7423754011977773E-3</c:v>
                </c:pt>
                <c:pt idx="13">
                  <c:v>-4.2842009091494443E-3</c:v>
                </c:pt>
                <c:pt idx="14">
                  <c:v>-6.1679112598320984E-3</c:v>
                </c:pt>
                <c:pt idx="15">
                  <c:v>-8.393061538164364E-3</c:v>
                </c:pt>
                <c:pt idx="16">
                  <c:v>-1.0959126763966653E-2</c:v>
                </c:pt>
                <c:pt idx="17">
                  <c:v>-1.386550230384258E-2</c:v>
                </c:pt>
                <c:pt idx="18">
                  <c:v>-1.7111504344582869E-2</c:v>
                </c:pt>
                <c:pt idx="19">
                  <c:v>-6.8045175474465092E-2</c:v>
                </c:pt>
                <c:pt idx="20">
                  <c:v>-0.15162926719815317</c:v>
                </c:pt>
                <c:pt idx="21">
                  <c:v>-0.26600862189675395</c:v>
                </c:pt>
                <c:pt idx="22">
                  <c:v>-0.40877560788352241</c:v>
                </c:pt>
                <c:pt idx="23">
                  <c:v>-0.57712612523795315</c:v>
                </c:pt>
                <c:pt idx="24">
                  <c:v>-0.76802135025538609</c:v>
                </c:pt>
                <c:pt idx="25">
                  <c:v>-0.97833858981619204</c:v>
                </c:pt>
                <c:pt idx="26">
                  <c:v>-1.2049995751356051</c:v>
                </c:pt>
                <c:pt idx="27">
                  <c:v>-1.4450701162052859</c:v>
                </c:pt>
                <c:pt idx="28">
                  <c:v>-4.1147436202747096</c:v>
                </c:pt>
                <c:pt idx="29">
                  <c:v>-6.5830314304388384</c:v>
                </c:pt>
                <c:pt idx="30">
                  <c:v>-8.6430615588033994</c:v>
                </c:pt>
                <c:pt idx="31">
                  <c:v>-10.362137382398966</c:v>
                </c:pt>
                <c:pt idx="32">
                  <c:v>-11.821928927044215</c:v>
                </c:pt>
                <c:pt idx="33">
                  <c:v>-13.084454117991323</c:v>
                </c:pt>
                <c:pt idx="34">
                  <c:v>-14.193970362741471</c:v>
                </c:pt>
                <c:pt idx="35">
                  <c:v>-15.182179694787161</c:v>
                </c:pt>
                <c:pt idx="36">
                  <c:v>-16.072235265805517</c:v>
                </c:pt>
                <c:pt idx="37">
                  <c:v>-22.011612586390061</c:v>
                </c:pt>
                <c:pt idx="38">
                  <c:v>-25.518228412625149</c:v>
                </c:pt>
                <c:pt idx="39">
                  <c:v>-28.011667261840323</c:v>
                </c:pt>
                <c:pt idx="40">
                  <c:v>-29.947395549253173</c:v>
                </c:pt>
                <c:pt idx="41">
                  <c:v>-31.529677080213759</c:v>
                </c:pt>
                <c:pt idx="42">
                  <c:v>-32.867802650164421</c:v>
                </c:pt>
                <c:pt idx="43">
                  <c:v>-34.027115643146644</c:v>
                </c:pt>
                <c:pt idx="44">
                  <c:v>-35.049805468049144</c:v>
                </c:pt>
                <c:pt idx="45">
                  <c:v>-35.964697308632857</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0-77E2-48A2-9551-C4B89B31A93F}"/>
            </c:ext>
          </c:extLst>
        </c:ser>
        <c:ser>
          <c:idx val="1"/>
          <c:order val="1"/>
          <c:spPr>
            <a:ln w="19050" cap="rnd">
              <a:solidFill>
                <a:schemeClr val="accent2"/>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LPF'!$E$47:$E$101</c:f>
              <c:numCache>
                <c:formatCode>General</c:formatCode>
                <c:ptCount val="55"/>
                <c:pt idx="0">
                  <c:v>-1.7145255528834613E-6</c:v>
                </c:pt>
                <c:pt idx="1">
                  <c:v>-6.8580981533686203E-6</c:v>
                </c:pt>
                <c:pt idx="2">
                  <c:v>-1.5430705615359815E-5</c:v>
                </c:pt>
                <c:pt idx="3">
                  <c:v>-2.7432327633425711E-5</c:v>
                </c:pt>
                <c:pt idx="4">
                  <c:v>-4.2862935779766058E-5</c:v>
                </c:pt>
                <c:pt idx="5">
                  <c:v>-6.1722493504979615E-5</c:v>
                </c:pt>
                <c:pt idx="6">
                  <c:v>-8.4010956137811616E-5</c:v>
                </c:pt>
                <c:pt idx="7">
                  <c:v>-1.0972827088580956E-4</c:v>
                </c:pt>
                <c:pt idx="8">
                  <c:v>-1.3887437683399412E-4</c:v>
                </c:pt>
                <c:pt idx="9">
                  <c:v>-1.7144920494926007E-4</c:v>
                </c:pt>
                <c:pt idx="10">
                  <c:v>-6.8575621307905487E-4</c:v>
                </c:pt>
                <c:pt idx="11">
                  <c:v>-1.5427992362884171E-3</c:v>
                </c:pt>
                <c:pt idx="12">
                  <c:v>-2.7423754011977773E-3</c:v>
                </c:pt>
                <c:pt idx="13">
                  <c:v>-4.2842009091484806E-3</c:v>
                </c:pt>
                <c:pt idx="14">
                  <c:v>-6.1679112598311339E-3</c:v>
                </c:pt>
                <c:pt idx="15">
                  <c:v>-8.3930615381633978E-3</c:v>
                </c:pt>
                <c:pt idx="16">
                  <c:v>-1.0959126763967621E-2</c:v>
                </c:pt>
                <c:pt idx="17">
                  <c:v>-1.3865502303841613E-2</c:v>
                </c:pt>
                <c:pt idx="18">
                  <c:v>-1.7111504344581904E-2</c:v>
                </c:pt>
                <c:pt idx="19">
                  <c:v>-6.8045175474466063E-2</c:v>
                </c:pt>
                <c:pt idx="20">
                  <c:v>-0.15162926719815417</c:v>
                </c:pt>
                <c:pt idx="21">
                  <c:v>-0.26600862189675495</c:v>
                </c:pt>
                <c:pt idx="22">
                  <c:v>-0.40877560788352241</c:v>
                </c:pt>
                <c:pt idx="23">
                  <c:v>-0.57712612523795515</c:v>
                </c:pt>
                <c:pt idx="24">
                  <c:v>-0.76802135025538498</c:v>
                </c:pt>
                <c:pt idx="25">
                  <c:v>-0.97833858981619204</c:v>
                </c:pt>
                <c:pt idx="26">
                  <c:v>-1.2049995751356051</c:v>
                </c:pt>
                <c:pt idx="27">
                  <c:v>-1.4450701162052859</c:v>
                </c:pt>
                <c:pt idx="28">
                  <c:v>-4.1147436202747096</c:v>
                </c:pt>
                <c:pt idx="29">
                  <c:v>-6.5830314304388384</c:v>
                </c:pt>
                <c:pt idx="30">
                  <c:v>-8.6430615588034012</c:v>
                </c:pt>
                <c:pt idx="31">
                  <c:v>-10.362137382398968</c:v>
                </c:pt>
                <c:pt idx="32">
                  <c:v>-11.821928927044215</c:v>
                </c:pt>
                <c:pt idx="33">
                  <c:v>-13.084454117991324</c:v>
                </c:pt>
                <c:pt idx="34">
                  <c:v>-14.193970362741473</c:v>
                </c:pt>
                <c:pt idx="35">
                  <c:v>-15.182179694787166</c:v>
                </c:pt>
                <c:pt idx="36">
                  <c:v>-16.072235265805517</c:v>
                </c:pt>
                <c:pt idx="37">
                  <c:v>-22.011612586390065</c:v>
                </c:pt>
                <c:pt idx="38">
                  <c:v>-25.518228412625152</c:v>
                </c:pt>
                <c:pt idx="39">
                  <c:v>-28.011667261840326</c:v>
                </c:pt>
                <c:pt idx="40">
                  <c:v>-29.947395549253176</c:v>
                </c:pt>
                <c:pt idx="41">
                  <c:v>-31.529677080213759</c:v>
                </c:pt>
                <c:pt idx="42">
                  <c:v>-32.867802650164421</c:v>
                </c:pt>
                <c:pt idx="43">
                  <c:v>-34.027115643146651</c:v>
                </c:pt>
                <c:pt idx="44">
                  <c:v>-35.049805468049144</c:v>
                </c:pt>
                <c:pt idx="45">
                  <c:v>-35.964697308632864</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1-51E0-4931-9763-1E935FAF6C6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HPF'!$C$15</c:f>
              <c:strCache>
                <c:ptCount val="1"/>
                <c:pt idx="0">
                  <c:v>Vin(+)</c:v>
                </c:pt>
              </c:strCache>
            </c:strRef>
          </c:tx>
          <c:spPr>
            <a:ln>
              <a:solidFill>
                <a:schemeClr val="tx1"/>
              </a:solidFill>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HPF'!$C$16:$C$41</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CDD9-4FAC-8634-4CB28D7327BD}"/>
            </c:ext>
          </c:extLst>
        </c:ser>
        <c:ser>
          <c:idx val="1"/>
          <c:order val="1"/>
          <c:tx>
            <c:strRef>
              <c:f>'Unity HPF'!$E$15</c:f>
              <c:strCache>
                <c:ptCount val="1"/>
                <c:pt idx="0">
                  <c:v>Vout</c:v>
                </c:pt>
              </c:strCache>
            </c:strRef>
          </c:tx>
          <c:spPr>
            <a:ln>
              <a:solidFill>
                <a:srgbClr val="C00000"/>
              </a:solidFill>
              <a:prstDash val="dash"/>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HPF'!$E$16:$E$41</c:f>
              <c:numCache>
                <c:formatCode>General</c:formatCode>
                <c:ptCount val="26"/>
                <c:pt idx="0">
                  <c:v>0.49999999999998174</c:v>
                </c:pt>
                <c:pt idx="1">
                  <c:v>0.69007724593774544</c:v>
                </c:pt>
                <c:pt idx="2">
                  <c:v>0.23952375795752853</c:v>
                </c:pt>
                <c:pt idx="3">
                  <c:v>-0.43339075084233064</c:v>
                </c:pt>
                <c:pt idx="4">
                  <c:v>-0.70396851195230237</c:v>
                </c:pt>
                <c:pt idx="5">
                  <c:v>-0.32101963220874052</c:v>
                </c:pt>
                <c:pt idx="6">
                  <c:v>0.35994667064881064</c:v>
                </c:pt>
                <c:pt idx="7">
                  <c:v>0.70675777400296613</c:v>
                </c:pt>
                <c:pt idx="8">
                  <c:v>0.39745283509218854</c:v>
                </c:pt>
                <c:pt idx="9">
                  <c:v>-0.28082601643743971</c:v>
                </c:pt>
                <c:pt idx="10">
                  <c:v>-0.69840104376097367</c:v>
                </c:pt>
                <c:pt idx="11">
                  <c:v>-0.46761796933941646</c:v>
                </c:pt>
                <c:pt idx="12">
                  <c:v>0.1972765681895208</c:v>
                </c:pt>
                <c:pt idx="13">
                  <c:v>0.6790301118543095</c:v>
                </c:pt>
                <c:pt idx="14">
                  <c:v>0.53040848886872816</c:v>
                </c:pt>
                <c:pt idx="15">
                  <c:v>-0.11061595061394236</c:v>
                </c:pt>
                <c:pt idx="16">
                  <c:v>-0.64895046945077561</c:v>
                </c:pt>
                <c:pt idx="17">
                  <c:v>-0.58483414967790603</c:v>
                </c:pt>
                <c:pt idx="18">
                  <c:v>2.2210853418416082E-2</c:v>
                </c:pt>
                <c:pt idx="19">
                  <c:v>0.60863649047978374</c:v>
                </c:pt>
                <c:pt idx="20">
                  <c:v>0.63003662658367676</c:v>
                </c:pt>
                <c:pt idx="21">
                  <c:v>6.6544522203638087E-2</c:v>
                </c:pt>
                <c:pt idx="22">
                  <c:v>-0.55872395047210988</c:v>
                </c:pt>
                <c:pt idx="23">
                  <c:v>-0.66530304952258534</c:v>
                </c:pt>
                <c:pt idx="24">
                  <c:v>-0.15425045095877016</c:v>
                </c:pt>
                <c:pt idx="25">
                  <c:v>0.49999999999998118</c:v>
                </c:pt>
              </c:numCache>
            </c:numRef>
          </c:yVal>
          <c:smooth val="1"/>
          <c:extLst>
            <c:ext xmlns:c16="http://schemas.microsoft.com/office/drawing/2014/chart" uri="{C3380CC4-5D6E-409C-BE32-E72D297353CC}">
              <c16:uniqueId val="{00000001-CDD9-4FAC-8634-4CB28D7327B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HPF'!$C$45</c:f>
              <c:strCache>
                <c:ptCount val="1"/>
                <c:pt idx="0">
                  <c:v>Gain,dB</c:v>
                </c:pt>
              </c:strCache>
            </c:strRef>
          </c:tx>
          <c:spPr>
            <a:ln w="19050" cap="rnd">
              <a:solidFill>
                <a:srgbClr val="C00000"/>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HPF'!$C$46:$C$100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FA03-4DEC-8BCA-BA5957A4B306}"/>
            </c:ext>
          </c:extLst>
        </c:ser>
        <c:ser>
          <c:idx val="1"/>
          <c:order val="1"/>
          <c:tx>
            <c:v>Gain,dB (Xc)</c:v>
          </c:tx>
          <c:spPr>
            <a:ln w="19050" cap="rnd">
              <a:solidFill>
                <a:schemeClr val="accent2"/>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HPF'!$E$46:$E$100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093C-4080-A0A9-CB281697469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BPF'!$C$17</c:f>
              <c:strCache>
                <c:ptCount val="1"/>
                <c:pt idx="0">
                  <c:v>Vin(+)</c:v>
                </c:pt>
              </c:strCache>
            </c:strRef>
          </c:tx>
          <c:spPr>
            <a:ln>
              <a:solidFill>
                <a:schemeClr val="tx1"/>
              </a:solidFill>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BPF'!$C$18:$C$43</c:f>
              <c:numCache>
                <c:formatCode>General</c:formatCode>
                <c:ptCount val="26"/>
                <c:pt idx="0">
                  <c:v>0</c:v>
                </c:pt>
                <c:pt idx="1">
                  <c:v>0.84432792550201496</c:v>
                </c:pt>
                <c:pt idx="2">
                  <c:v>0.90482705246601969</c:v>
                </c:pt>
                <c:pt idx="3">
                  <c:v>0.12533323356430454</c:v>
                </c:pt>
                <c:pt idx="4">
                  <c:v>-0.77051324277578881</c:v>
                </c:pt>
                <c:pt idx="5">
                  <c:v>-0.95105651629515386</c:v>
                </c:pt>
                <c:pt idx="6">
                  <c:v>-0.24868988716485621</c:v>
                </c:pt>
                <c:pt idx="7">
                  <c:v>0.68454710592868662</c:v>
                </c:pt>
                <c:pt idx="8">
                  <c:v>0.98228725072868894</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-0.90482705246602091</c:v>
                </c:pt>
                <c:pt idx="24">
                  <c:v>-0.84432792550201252</c:v>
                </c:pt>
                <c:pt idx="25">
                  <c:v>6.1253085936741059E-15</c:v>
                </c:pt>
              </c:numCache>
            </c:numRef>
          </c:yVal>
          <c:smooth val="1"/>
          <c:extLst>
            <c:ext xmlns:c16="http://schemas.microsoft.com/office/drawing/2014/chart" uri="{C3380CC4-5D6E-409C-BE32-E72D297353CC}">
              <c16:uniqueId val="{00000000-87C5-4032-B7C9-83A2143E28D1}"/>
            </c:ext>
          </c:extLst>
        </c:ser>
        <c:ser>
          <c:idx val="1"/>
          <c:order val="1"/>
          <c:tx>
            <c:strRef>
              <c:f>'Unity BPF'!$E$17</c:f>
              <c:strCache>
                <c:ptCount val="1"/>
                <c:pt idx="0">
                  <c:v>Vout</c:v>
                </c:pt>
              </c:strCache>
            </c:strRef>
          </c:tx>
          <c:spPr>
            <a:ln>
              <a:solidFill>
                <a:srgbClr val="C00000"/>
              </a:solidFill>
              <a:prstDash val="dash"/>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BPF'!$E$18:$E$43</c:f>
              <c:numCache>
                <c:formatCode>General</c:formatCode>
                <c:ptCount val="26"/>
                <c:pt idx="0">
                  <c:v>0</c:v>
                </c:pt>
                <c:pt idx="1">
                  <c:v>0.76757084136546805</c:v>
                </c:pt>
                <c:pt idx="2">
                  <c:v>0.82257004769638142</c:v>
                </c:pt>
                <c:pt idx="3">
                  <c:v>0.11393930324027683</c:v>
                </c:pt>
                <c:pt idx="4">
                  <c:v>-0.70046658434162612</c:v>
                </c:pt>
                <c:pt idx="5">
                  <c:v>-0.86459683299559431</c:v>
                </c:pt>
                <c:pt idx="6">
                  <c:v>-0.2260817156044147</c:v>
                </c:pt>
                <c:pt idx="7">
                  <c:v>0.62231555084426105</c:v>
                </c:pt>
                <c:pt idx="8">
                  <c:v>0.89298840975335347</c:v>
                </c:pt>
                <c:pt idx="9">
                  <c:v>0.33465868425879958</c:v>
                </c:pt>
                <c:pt idx="10">
                  <c:v>-0.53435022935679333</c:v>
                </c:pt>
                <c:pt idx="11">
                  <c:v>-0.90729702584388305</c:v>
                </c:pt>
                <c:pt idx="12">
                  <c:v>-0.43795788554701337</c:v>
                </c:pt>
                <c:pt idx="13">
                  <c:v>0.43795788554701398</c:v>
                </c:pt>
                <c:pt idx="14">
                  <c:v>0.90729702584388316</c:v>
                </c:pt>
                <c:pt idx="15">
                  <c:v>0.53435022935679277</c:v>
                </c:pt>
                <c:pt idx="16">
                  <c:v>-0.33465868425879874</c:v>
                </c:pt>
                <c:pt idx="17">
                  <c:v>-0.89298840975335358</c:v>
                </c:pt>
                <c:pt idx="18">
                  <c:v>-0.62231555084426227</c:v>
                </c:pt>
                <c:pt idx="19">
                  <c:v>0.22608171560441462</c:v>
                </c:pt>
                <c:pt idx="20">
                  <c:v>0.86459683299559476</c:v>
                </c:pt>
                <c:pt idx="21">
                  <c:v>0.70046658434162401</c:v>
                </c:pt>
                <c:pt idx="22">
                  <c:v>-0.11393930324027834</c:v>
                </c:pt>
                <c:pt idx="23">
                  <c:v>-0.82257004769638253</c:v>
                </c:pt>
                <c:pt idx="24">
                  <c:v>-0.76757084136546583</c:v>
                </c:pt>
                <c:pt idx="25">
                  <c:v>5.56846235788555E-15</c:v>
                </c:pt>
              </c:numCache>
            </c:numRef>
          </c:yVal>
          <c:smooth val="1"/>
          <c:extLst>
            <c:ext xmlns:c16="http://schemas.microsoft.com/office/drawing/2014/chart" uri="{C3380CC4-5D6E-409C-BE32-E72D297353CC}">
              <c16:uniqueId val="{00000001-87C5-4032-B7C9-83A2143E28D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chart" Target="../charts/chart15.xml"/><Relationship Id="rId1" Type="http://schemas.openxmlformats.org/officeDocument/2006/relationships/chart" Target="../charts/chart14.xml"/><Relationship Id="rId5" Type="http://schemas.openxmlformats.org/officeDocument/2006/relationships/image" Target="../media/image9.png"/><Relationship Id="rId4" Type="http://schemas.openxmlformats.org/officeDocument/2006/relationships/image" Target="../media/image20.jpeg"/></Relationships>
</file>

<file path=xl/drawings/_rels/drawing11.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chart" Target="../charts/chart16.xml"/></Relationships>
</file>

<file path=xl/drawings/_rels/drawing12.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chart" Target="../charts/chart17.xml"/></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chart" Target="../charts/chart18.xml"/></Relationships>
</file>

<file path=xl/drawings/_rels/drawing14.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chart" Target="../charts/chart19.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chart" Target="../charts/chart21.xml"/><Relationship Id="rId1" Type="http://schemas.openxmlformats.org/officeDocument/2006/relationships/chart" Target="../charts/chart20.xml"/><Relationship Id="rId6" Type="http://schemas.openxmlformats.org/officeDocument/2006/relationships/image" Target="../media/image28.png"/><Relationship Id="rId5" Type="http://schemas.openxmlformats.org/officeDocument/2006/relationships/image" Target="../media/image27.png"/><Relationship Id="rId4" Type="http://schemas.openxmlformats.org/officeDocument/2006/relationships/image" Target="../media/image26.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chart" Target="../charts/chart23.xml"/><Relationship Id="rId1" Type="http://schemas.openxmlformats.org/officeDocument/2006/relationships/chart" Target="../charts/chart22.xml"/><Relationship Id="rId4" Type="http://schemas.openxmlformats.org/officeDocument/2006/relationships/image" Target="../media/image9.png"/></Relationships>
</file>

<file path=xl/drawings/_rels/drawing17.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chart" Target="../charts/chart24.xml"/></Relationships>
</file>

<file path=xl/drawings/_rels/drawing18.xml.rels><?xml version="1.0" encoding="UTF-8" standalone="yes"?>
<Relationships xmlns="http://schemas.openxmlformats.org/package/2006/relationships"><Relationship Id="rId3" Type="http://schemas.openxmlformats.org/officeDocument/2006/relationships/chart" Target="../charts/chart26.xml"/><Relationship Id="rId2" Type="http://schemas.openxmlformats.org/officeDocument/2006/relationships/image" Target="../media/image31.png"/><Relationship Id="rId1" Type="http://schemas.openxmlformats.org/officeDocument/2006/relationships/chart" Target="../charts/chart25.xml"/></Relationships>
</file>

<file path=xl/drawings/_rels/drawing19.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chart" Target="../charts/chart27.xml"/><Relationship Id="rId4" Type="http://schemas.openxmlformats.org/officeDocument/2006/relationships/chart" Target="../charts/chart28.xml"/></Relationships>
</file>

<file path=xl/drawings/_rels/drawing2.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2.xml"/></Relationships>
</file>

<file path=xl/drawings/_rels/drawing20.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chart" Target="../charts/chart30.xml"/><Relationship Id="rId1" Type="http://schemas.openxmlformats.org/officeDocument/2006/relationships/chart" Target="../charts/chart29.xml"/><Relationship Id="rId5" Type="http://schemas.openxmlformats.org/officeDocument/2006/relationships/image" Target="../media/image6.png"/><Relationship Id="rId4" Type="http://schemas.openxmlformats.org/officeDocument/2006/relationships/image" Target="../media/image35.png"/></Relationships>
</file>

<file path=xl/drawings/_rels/drawing21.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chart" Target="../charts/chart32.xml"/><Relationship Id="rId1" Type="http://schemas.openxmlformats.org/officeDocument/2006/relationships/chart" Target="../charts/chart31.xml"/><Relationship Id="rId6" Type="http://schemas.openxmlformats.org/officeDocument/2006/relationships/image" Target="../media/image6.png"/><Relationship Id="rId5" Type="http://schemas.openxmlformats.org/officeDocument/2006/relationships/image" Target="../media/image18.png"/><Relationship Id="rId4" Type="http://schemas.openxmlformats.org/officeDocument/2006/relationships/image" Target="../media/image37.png"/></Relationships>
</file>

<file path=xl/drawings/_rels/drawing22.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chart" Target="../charts/chart34.xml"/><Relationship Id="rId1" Type="http://schemas.openxmlformats.org/officeDocument/2006/relationships/chart" Target="../charts/chart33.xml"/><Relationship Id="rId5" Type="http://schemas.openxmlformats.org/officeDocument/2006/relationships/image" Target="../media/image9.png"/><Relationship Id="rId4" Type="http://schemas.openxmlformats.org/officeDocument/2006/relationships/image" Target="../media/image8.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chart" Target="../charts/chart36.xml"/><Relationship Id="rId1" Type="http://schemas.openxmlformats.org/officeDocument/2006/relationships/chart" Target="../charts/chart35.xml"/><Relationship Id="rId4" Type="http://schemas.openxmlformats.org/officeDocument/2006/relationships/image" Target="../media/image40.png"/></Relationships>
</file>

<file path=xl/drawings/_rels/drawing24.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chart" Target="../charts/chart37.xml"/></Relationships>
</file>

<file path=xl/drawings/_rels/drawing25.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chart" Target="../charts/chart38.xml"/></Relationships>
</file>

<file path=xl/drawings/_rels/drawing26.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chart" Target="../charts/chart39.xml"/></Relationships>
</file>

<file path=xl/drawings/_rels/drawing27.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chart" Target="../charts/chart40.xml"/></Relationships>
</file>

<file path=xl/drawings/_rels/drawing28.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chart" Target="../charts/chart41.xml"/></Relationships>
</file>

<file path=xl/drawings/_rels/drawing29.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chart" Target="../charts/chart42.xml"/></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chart" Target="../charts/chart3.xml"/></Relationships>
</file>

<file path=xl/drawings/_rels/drawing30.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jpeg"/><Relationship Id="rId1" Type="http://schemas.openxmlformats.org/officeDocument/2006/relationships/chart" Target="../charts/chart43.xml"/><Relationship Id="rId4" Type="http://schemas.openxmlformats.org/officeDocument/2006/relationships/image" Target="../media/image49.png"/></Relationships>
</file>

<file path=xl/drawings/_rels/drawing31.xml.rels><?xml version="1.0" encoding="UTF-8" standalone="yes"?>
<Relationships xmlns="http://schemas.openxmlformats.org/package/2006/relationships"><Relationship Id="rId3" Type="http://schemas.openxmlformats.org/officeDocument/2006/relationships/image" Target="../media/image47.jpeg"/><Relationship Id="rId2" Type="http://schemas.openxmlformats.org/officeDocument/2006/relationships/image" Target="../media/image48.png"/><Relationship Id="rId1" Type="http://schemas.openxmlformats.org/officeDocument/2006/relationships/chart" Target="../charts/chart44.xml"/><Relationship Id="rId4" Type="http://schemas.openxmlformats.org/officeDocument/2006/relationships/image" Target="../media/image49.png"/></Relationships>
</file>

<file path=xl/drawings/_rels/drawing32.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chart" Target="../charts/chart45.xml"/></Relationships>
</file>

<file path=xl/drawings/_rels/drawing33.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chart" Target="../charts/chart46.xml"/></Relationships>
</file>

<file path=xl/drawings/_rels/drawing34.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2" Type="http://schemas.openxmlformats.org/officeDocument/2006/relationships/image" Target="../media/image53.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0" Type="http://schemas.openxmlformats.org/officeDocument/2006/relationships/image" Target="../media/image61.png"/><Relationship Id="rId4" Type="http://schemas.openxmlformats.org/officeDocument/2006/relationships/image" Target="../media/image55.png"/><Relationship Id="rId9" Type="http://schemas.openxmlformats.org/officeDocument/2006/relationships/image" Target="../media/image60.png"/></Relationships>
</file>

<file path=xl/drawings/_rels/drawing4.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chart" Target="../charts/chart6.xml"/><Relationship Id="rId1" Type="http://schemas.openxmlformats.org/officeDocument/2006/relationships/chart" Target="../charts/chart5.xml"/><Relationship Id="rId5" Type="http://schemas.openxmlformats.org/officeDocument/2006/relationships/image" Target="../media/image6.png"/><Relationship Id="rId4" Type="http://schemas.openxmlformats.org/officeDocument/2006/relationships/image" Target="../media/image5.jpeg"/></Relationships>
</file>

<file path=xl/drawings/_rels/drawing6.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0.png"/><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image" Target="../media/image9.png"/><Relationship Id="rId5" Type="http://schemas.openxmlformats.org/officeDocument/2006/relationships/image" Target="../media/image8.png"/><Relationship Id="rId4" Type="http://schemas.microsoft.com/office/2007/relationships/hdphoto" Target="../media/hdphoto1.wdp"/></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chart" Target="../charts/chart10.xml"/><Relationship Id="rId1" Type="http://schemas.openxmlformats.org/officeDocument/2006/relationships/chart" Target="../charts/chart9.xml"/><Relationship Id="rId5" Type="http://schemas.openxmlformats.org/officeDocument/2006/relationships/image" Target="../media/image13.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3.xml"/><Relationship Id="rId2" Type="http://schemas.openxmlformats.org/officeDocument/2006/relationships/image" Target="../media/image16.png"/><Relationship Id="rId1" Type="http://schemas.openxmlformats.org/officeDocument/2006/relationships/chart" Target="../charts/chart12.xml"/><Relationship Id="rId6" Type="http://schemas.openxmlformats.org/officeDocument/2006/relationships/image" Target="../media/image6.png"/><Relationship Id="rId5" Type="http://schemas.openxmlformats.org/officeDocument/2006/relationships/image" Target="../media/image18.png"/><Relationship Id="rId4"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xdr:from>
      <xdr:col>4</xdr:col>
      <xdr:colOff>531811</xdr:colOff>
      <xdr:row>9</xdr:row>
      <xdr:rowOff>47228</xdr:rowOff>
    </xdr:from>
    <xdr:to>
      <xdr:col>11</xdr:col>
      <xdr:colOff>390921</xdr:colOff>
      <xdr:row>23</xdr:row>
      <xdr:rowOff>161132</xdr:rowOff>
    </xdr:to>
    <xdr:graphicFrame macro="">
      <xdr:nvGraphicFramePr>
        <xdr:cNvPr id="2" name="Chart 1">
          <a:extLst>
            <a:ext uri="{FF2B5EF4-FFF2-40B4-BE49-F238E27FC236}">
              <a16:creationId xmlns:a16="http://schemas.microsoft.com/office/drawing/2014/main" id="{00000000-0008-0000-00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7</xdr:col>
      <xdr:colOff>75408</xdr:colOff>
      <xdr:row>18</xdr:row>
      <xdr:rowOff>106758</xdr:rowOff>
    </xdr:from>
    <xdr:to>
      <xdr:col>13</xdr:col>
      <xdr:colOff>410767</xdr:colOff>
      <xdr:row>33</xdr:row>
      <xdr:rowOff>32147</xdr:rowOff>
    </xdr:to>
    <xdr:graphicFrame macro="">
      <xdr:nvGraphicFramePr>
        <xdr:cNvPr id="2" name="Chart 1">
          <a:extLst>
            <a:ext uri="{FF2B5EF4-FFF2-40B4-BE49-F238E27FC236}">
              <a16:creationId xmlns:a16="http://schemas.microsoft.com/office/drawing/2014/main" id="{2AAB10C4-2393-498E-A7B4-ECB45D403E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184547</xdr:colOff>
      <xdr:row>45</xdr:row>
      <xdr:rowOff>47227</xdr:rowOff>
    </xdr:from>
    <xdr:to>
      <xdr:col>14</xdr:col>
      <xdr:colOff>390921</xdr:colOff>
      <xdr:row>59</xdr:row>
      <xdr:rowOff>151208</xdr:rowOff>
    </xdr:to>
    <xdr:graphicFrame macro="">
      <xdr:nvGraphicFramePr>
        <xdr:cNvPr id="4" name="Chart 3">
          <a:extLst>
            <a:ext uri="{FF2B5EF4-FFF2-40B4-BE49-F238E27FC236}">
              <a16:creationId xmlns:a16="http://schemas.microsoft.com/office/drawing/2014/main" id="{23E46509-0E22-4536-BEFD-E75F753F48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345374</xdr:colOff>
      <xdr:row>7</xdr:row>
      <xdr:rowOff>94876</xdr:rowOff>
    </xdr:from>
    <xdr:to>
      <xdr:col>19</xdr:col>
      <xdr:colOff>238125</xdr:colOff>
      <xdr:row>26</xdr:row>
      <xdr:rowOff>18128</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𝐴</m:t>
                      </m:r>
                    </m:e>
                    <m:sub>
                      <m:r>
                        <a:rPr lang="en-CA" sz="1400" b="0" i="1" kern="1200">
                          <a:solidFill>
                            <a:schemeClr val="tx1"/>
                          </a:solidFill>
                          <a:effectLst/>
                          <a:latin typeface="Cambria Math" panose="02040503050406030204" pitchFamily="18" charset="0"/>
                          <a:ea typeface="+mn-ea"/>
                          <a:cs typeface="+mn-cs"/>
                        </a:rPr>
                        <m:t>𝑣</m:t>
                      </m:r>
                    </m:sub>
                  </m:sSub>
                  <m:r>
                    <a:rPr lang="en-US" sz="1400" i="1" kern="1200">
                      <a:solidFill>
                        <a:schemeClr val="tx1"/>
                      </a:solidFill>
                      <a:effectLst/>
                      <a:latin typeface="Cambria Math" panose="02040503050406030204" pitchFamily="18" charset="0"/>
                      <a:ea typeface="+mn-ea"/>
                      <a:cs typeface="+mn-cs"/>
                    </a:rPr>
                    <m:t>=</m:t>
                  </m:r>
                </m:oMath>
              </a14:m>
              <a:r>
                <a:rPr lang="en-US" sz="1400" kern="1200">
                  <a:solidFill>
                    <a:schemeClr val="tx1"/>
                  </a:solidFill>
                  <a:effectLst/>
                  <a:latin typeface="+mn-lt"/>
                  <a:ea typeface="+mn-ea"/>
                  <a:cs typeface="+mn-cs"/>
                </a:rPr>
                <a:t> </a:t>
              </a:r>
              <a14:m>
                <m:oMath xmlns:m="http://schemas.openxmlformats.org/officeDocument/2006/math">
                  <m:r>
                    <a:rPr lang="en-CA" sz="1400" b="0" i="0" kern="1200">
                      <a:solidFill>
                        <a:schemeClr val="tx1"/>
                      </a:solidFill>
                      <a:effectLst/>
                      <a:latin typeface="Cambria Math" panose="02040503050406030204" pitchFamily="18" charset="0"/>
                      <a:ea typeface="+mn-ea"/>
                      <a:cs typeface="+mn-cs"/>
                    </a:rPr>
                    <m:t>−</m:t>
                  </m:r>
                  <m:d>
                    <m:dPr>
                      <m:ctrlPr>
                        <a:rPr lang="en-CA" sz="1400" i="1" kern="1200">
                          <a:solidFill>
                            <a:schemeClr val="tx1"/>
                          </a:solidFill>
                          <a:effectLst/>
                          <a:latin typeface="Cambria Math" panose="02040503050406030204" pitchFamily="18" charset="0"/>
                          <a:ea typeface="+mn-ea"/>
                          <a:cs typeface="+mn-cs"/>
                        </a:rPr>
                      </m:ctrlPr>
                    </m:dPr>
                    <m:e>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r>
                    <a:rPr lang="en-US" sz="140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1</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r>
                    <a:rPr lang="en-CA" sz="1400" b="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oMath>
              </a14:m>
              <a:endParaRPr lang="en-CA" sz="1050" i="1" kern="1200">
                <a:solidFill>
                  <a:schemeClr val="tx1"/>
                </a:solidFill>
                <a:effectLst/>
                <a:latin typeface="Cambria Math" panose="02040503050406030204" pitchFamily="18" charset="0"/>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𝑐</m:t>
                                  </m:r>
                                </m:sub>
                              </m:sSub>
                            </m:e>
                            <m:sup>
                              <m:r>
                                <a:rPr lang="en-CA"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400" b="0" i="0" kern="1200">
                  <a:solidFill>
                    <a:schemeClr val="tx1"/>
                  </a:solidFill>
                  <a:effectLst/>
                  <a:latin typeface="+mn-lt"/>
                  <a:ea typeface="+mn-ea"/>
                  <a:cs typeface="+mn-cs"/>
                </a:rPr>
                <a:t>𝐴_𝑣</a:t>
              </a:r>
              <a:r>
                <a:rPr lang="en-US" sz="1400" i="0" kern="1200">
                  <a:solidFill>
                    <a:schemeClr val="tx1"/>
                  </a:solidFill>
                  <a:effectLst/>
                  <a:latin typeface="+mn-lt"/>
                  <a:ea typeface="+mn-ea"/>
                  <a:cs typeface="+mn-cs"/>
                </a:rPr>
                <a:t>=</a:t>
              </a:r>
              <a:r>
                <a:rPr lang="en-US" sz="1400" kern="1200">
                  <a:solidFill>
                    <a:schemeClr val="tx1"/>
                  </a:solidFill>
                  <a:effectLst/>
                  <a:latin typeface="+mn-lt"/>
                  <a:ea typeface="+mn-ea"/>
                  <a:cs typeface="+mn-cs"/>
                </a:rPr>
                <a:t>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1 )×</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1/√(〖</a:t>
              </a:r>
              <a:r>
                <a:rPr lang="en-CA" sz="1400" i="0" kern="1200">
                  <a:solidFill>
                    <a:schemeClr val="tx1"/>
                  </a:solidFill>
                  <a:effectLst/>
                  <a:latin typeface="+mn-lt"/>
                  <a:ea typeface="+mn-ea"/>
                  <a:cs typeface="+mn-cs"/>
                </a:rPr>
                <a:t>𝑅_1〗^2+〖𝑋_𝑐〗^2 )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𝑅_1〗^2+〖𝑋_𝑐〗^2 )</a:t>
              </a:r>
              <a:endParaRPr lang="en-CA" sz="1050" i="1" kern="1200">
                <a:solidFill>
                  <a:schemeClr val="tx1"/>
                </a:solidFill>
                <a:effectLst/>
                <a:latin typeface="Cambria Math" panose="02040503050406030204" pitchFamily="18" charset="0"/>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𝑅_𝐹/√(〖𝑅_1〗^2+〖𝑋_𝑐〗^2 )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442282</xdr:colOff>
      <xdr:row>0</xdr:row>
      <xdr:rowOff>173457</xdr:rowOff>
    </xdr:from>
    <xdr:to>
      <xdr:col>18</xdr:col>
      <xdr:colOff>524804</xdr:colOff>
      <xdr:row>6</xdr:row>
      <xdr:rowOff>195506</xdr:rowOff>
    </xdr:to>
    <xdr:pic>
      <xdr:nvPicPr>
        <xdr:cNvPr id="7" name="Picture 6">
          <a:extLst>
            <a:ext uri="{FF2B5EF4-FFF2-40B4-BE49-F238E27FC236}">
              <a16:creationId xmlns:a16="http://schemas.microsoft.com/office/drawing/2014/main" id="{4AFB629B-45F3-43FB-912C-584F79A8F8E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97606" y="173457"/>
          <a:ext cx="3713227" cy="1624490"/>
        </a:xfrm>
        <a:prstGeom prst="rect">
          <a:avLst/>
        </a:prstGeom>
      </xdr:spPr>
    </xdr:pic>
    <xdr:clientData/>
  </xdr:twoCellAnchor>
  <xdr:twoCellAnchor editAs="oneCell">
    <xdr:from>
      <xdr:col>20</xdr:col>
      <xdr:colOff>191432</xdr:colOff>
      <xdr:row>0</xdr:row>
      <xdr:rowOff>279098</xdr:rowOff>
    </xdr:from>
    <xdr:to>
      <xdr:col>27</xdr:col>
      <xdr:colOff>601007</xdr:colOff>
      <xdr:row>31</xdr:row>
      <xdr:rowOff>97235</xdr:rowOff>
    </xdr:to>
    <xdr:pic>
      <xdr:nvPicPr>
        <xdr:cNvPr id="3" name="Picture 2">
          <a:extLst>
            <a:ext uri="{FF2B5EF4-FFF2-40B4-BE49-F238E27FC236}">
              <a16:creationId xmlns:a16="http://schemas.microsoft.com/office/drawing/2014/main" id="{68F7A8CE-A0FF-15E5-AFD7-C034332C90A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887697" y="279098"/>
          <a:ext cx="4645398" cy="6239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257735</xdr:colOff>
      <xdr:row>32</xdr:row>
      <xdr:rowOff>145676</xdr:rowOff>
    </xdr:from>
    <xdr:to>
      <xdr:col>29</xdr:col>
      <xdr:colOff>35383</xdr:colOff>
      <xdr:row>50</xdr:row>
      <xdr:rowOff>89647</xdr:rowOff>
    </xdr:to>
    <xdr:pic>
      <xdr:nvPicPr>
        <xdr:cNvPr id="5" name="Picture 4">
          <a:extLst>
            <a:ext uri="{FF2B5EF4-FFF2-40B4-BE49-F238E27FC236}">
              <a16:creationId xmlns:a16="http://schemas.microsoft.com/office/drawing/2014/main" id="{EEB45EC6-B23A-40CE-90C0-59E17291017A}"/>
            </a:ext>
          </a:extLst>
        </xdr:cNvPr>
        <xdr:cNvPicPr>
          <a:picLocks noChangeAspect="1"/>
        </xdr:cNvPicPr>
      </xdr:nvPicPr>
      <xdr:blipFill>
        <a:blip xmlns:r="http://schemas.openxmlformats.org/officeDocument/2006/relationships" r:embed="rId5"/>
        <a:stretch>
          <a:fillRect/>
        </a:stretch>
      </xdr:blipFill>
      <xdr:spPr>
        <a:xfrm>
          <a:off x="12954000" y="6757147"/>
          <a:ext cx="5223707" cy="3384176"/>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4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3307</xdr:colOff>
      <xdr:row>1</xdr:row>
      <xdr:rowOff>14891</xdr:rowOff>
    </xdr:from>
    <xdr:to>
      <xdr:col>16</xdr:col>
      <xdr:colOff>476250</xdr:colOff>
      <xdr:row>11</xdr:row>
      <xdr:rowOff>4762</xdr:rowOff>
    </xdr:to>
    <xdr:pic>
      <xdr:nvPicPr>
        <xdr:cNvPr id="3" name="Picture 2">
          <a:extLst>
            <a:ext uri="{FF2B5EF4-FFF2-40B4-BE49-F238E27FC236}">
              <a16:creationId xmlns:a16="http://schemas.microsoft.com/office/drawing/2014/main" id="{85A70EDF-C873-4F1F-897B-60979617175B}"/>
            </a:ext>
          </a:extLst>
        </xdr:cNvPr>
        <xdr:cNvPicPr>
          <a:picLocks noChangeAspect="1"/>
        </xdr:cNvPicPr>
      </xdr:nvPicPr>
      <xdr:blipFill>
        <a:blip xmlns:r="http://schemas.openxmlformats.org/officeDocument/2006/relationships" r:embed="rId2"/>
        <a:stretch>
          <a:fillRect/>
        </a:stretch>
      </xdr:blipFill>
      <xdr:spPr>
        <a:xfrm>
          <a:off x="7094140" y="603589"/>
          <a:ext cx="3681016" cy="1888256"/>
        </a:xfrm>
        <a:prstGeom prst="rect">
          <a:avLst/>
        </a:prstGeom>
      </xdr:spPr>
    </xdr:pic>
    <xdr:clientData/>
  </xdr:twoCellAnchor>
  <xdr:twoCellAnchor>
    <xdr:from>
      <xdr:col>12</xdr:col>
      <xdr:colOff>343959</xdr:colOff>
      <xdr:row>11</xdr:row>
      <xdr:rowOff>165366</xdr:rowOff>
    </xdr:from>
    <xdr:to>
      <xdr:col>16</xdr:col>
      <xdr:colOff>198438</xdr:colOff>
      <xdr:row>16</xdr:row>
      <xdr:rowOff>37435</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5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515937</xdr:colOff>
      <xdr:row>0</xdr:row>
      <xdr:rowOff>257969</xdr:rowOff>
    </xdr:from>
    <xdr:to>
      <xdr:col>16</xdr:col>
      <xdr:colOff>265883</xdr:colOff>
      <xdr:row>9</xdr:row>
      <xdr:rowOff>178065</xdr:rowOff>
    </xdr:to>
    <xdr:pic>
      <xdr:nvPicPr>
        <xdr:cNvPr id="4" name="Picture 3">
          <a:extLst>
            <a:ext uri="{FF2B5EF4-FFF2-40B4-BE49-F238E27FC236}">
              <a16:creationId xmlns:a16="http://schemas.microsoft.com/office/drawing/2014/main" id="{00000000-0008-0000-0500-000004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627812" y="257969"/>
          <a:ext cx="3381352" cy="2102909"/>
        </a:xfrm>
        <a:prstGeom prst="rect">
          <a:avLst/>
        </a:prstGeom>
      </xdr:spPr>
    </xdr:pic>
    <xdr:clientData/>
  </xdr:twoCellAnchor>
  <xdr:twoCellAnchor>
    <xdr:from>
      <xdr:col>12</xdr:col>
      <xdr:colOff>565547</xdr:colOff>
      <xdr:row>10</xdr:row>
      <xdr:rowOff>99219</xdr:rowOff>
    </xdr:from>
    <xdr:to>
      <xdr:col>17</xdr:col>
      <xdr:colOff>257968</xdr:colOff>
      <xdr:row>18</xdr:row>
      <xdr:rowOff>128985</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B9527088-37A5-435D-BA7C-B3C57460EE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565547</xdr:colOff>
      <xdr:row>13</xdr:row>
      <xdr:rowOff>110764</xdr:rowOff>
    </xdr:from>
    <xdr:to>
      <xdr:col>17</xdr:col>
      <xdr:colOff>257968</xdr:colOff>
      <xdr:row>25</xdr:row>
      <xdr:rowOff>92364</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spcAft>
                  <a:spcPts val="300"/>
                </a:spcAft>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spcAft>
                  <a:spcPts val="300"/>
                </a:spcAft>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400">
                <a:effectLst/>
              </a:endParaRPr>
            </a:p>
            <a:p>
              <a:pP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US" sz="1400" b="0" kern="1200">
                        <a:solidFill>
                          <a:schemeClr val="tx1"/>
                        </a:solidFill>
                        <a:effectLst/>
                        <a:latin typeface="Cambria Math" panose="02040503050406030204" pitchFamily="18" charset="0"/>
                        <a:ea typeface="+mn-ea"/>
                        <a:cs typeface="+mn-cs"/>
                      </a:rPr>
                      <m:t>+</m:t>
                    </m:r>
                    <m:d>
                      <m:dPr>
                        <m:ctrlPr>
                          <a:rPr lang="en-US" sz="1400" b="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e>
                    </m:d>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CA" sz="1400" b="0">
                <a:effectLst/>
              </a:endParaRPr>
            </a:p>
            <a:p>
              <a:pPr algn="ct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US" sz="1400" b="0" baseline="30000"/>
            </a:p>
            <a:p>
              <a:pPr marL="0" marR="0" lvl="0" indent="0" algn="ctr" defTabSz="457200" rtl="0" eaLnBrk="1" fontAlgn="auto" latinLnBrk="0" hangingPunct="1">
                <a:lnSpc>
                  <a:spcPct val="100000"/>
                </a:lnSpc>
                <a:spcBef>
                  <a:spcPts val="0"/>
                </a:spcBef>
                <a:spcAft>
                  <a:spcPts val="30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r>
                              <a:rPr lang="en-CA" sz="1400" b="0" i="1" kern="1200">
                                <a:solidFill>
                                  <a:schemeClr val="tx1"/>
                                </a:solidFill>
                                <a:effectLst/>
                                <a:latin typeface="Cambria Math" panose="02040503050406030204" pitchFamily="18" charset="0"/>
                                <a:ea typeface="+mn-ea"/>
                                <a:cs typeface="+mn-cs"/>
                              </a:rPr>
                              <m:t>𝑉</m:t>
                            </m:r>
                          </m:e>
                          <m:sup>
                            <m:r>
                              <a:rPr lang="en-CA" sz="1400" b="0" i="1" kern="1200">
                                <a:solidFill>
                                  <a:schemeClr val="tx1"/>
                                </a:solidFill>
                                <a:effectLst/>
                                <a:latin typeface="Cambria Math" panose="02040503050406030204" pitchFamily="18" charset="0"/>
                                <a:ea typeface="+mn-ea"/>
                                <a:cs typeface="+mn-cs"/>
                              </a:rPr>
                              <m:t>+</m:t>
                            </m:r>
                          </m:sup>
                        </m:sSup>
                      </m:num>
                      <m:den>
                        <m:r>
                          <a:rPr lang="en-CA" sz="1400" b="0" i="1" kern="1200">
                            <a:solidFill>
                              <a:schemeClr val="tx1"/>
                            </a:solidFill>
                            <a:effectLst/>
                            <a:latin typeface="Cambria Math" panose="02040503050406030204" pitchFamily="18" charset="0"/>
                            <a:ea typeface="+mn-ea"/>
                            <a:cs typeface="+mn-cs"/>
                          </a:rPr>
                          <m:t>2</m:t>
                        </m:r>
                      </m:den>
                    </m:f>
                    <m:r>
                      <a:rPr lang="en-CA" sz="1400" b="0" i="1" kern="1200">
                        <a:solidFill>
                          <a:schemeClr val="tx1"/>
                        </a:solidFill>
                        <a:effectLst/>
                        <a:latin typeface="Cambria Math" panose="02040503050406030204" pitchFamily="18" charset="0"/>
                        <a:ea typeface="+mn-ea"/>
                        <a:cs typeface="+mn-cs"/>
                      </a:rPr>
                      <m:t>)</m:t>
                    </m:r>
                    <m:r>
                      <a:rPr lang="en-US" sz="1400" b="0"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r>
                              <a:rPr lang="en-CA" sz="1400" b="0" i="1" kern="1200">
                                <a:solidFill>
                                  <a:schemeClr val="tx1"/>
                                </a:solidFill>
                                <a:effectLst/>
                                <a:latin typeface="Cambria Math" panose="02040503050406030204" pitchFamily="18" charset="0"/>
                                <a:ea typeface="+mn-ea"/>
                                <a:cs typeface="+mn-cs"/>
                              </a:rPr>
                              <m:t>𝑉</m:t>
                            </m:r>
                          </m:e>
                          <m:sup>
                            <m:r>
                              <a:rPr lang="en-CA" sz="1400" b="0" i="1" kern="1200">
                                <a:solidFill>
                                  <a:schemeClr val="tx1"/>
                                </a:solidFill>
                                <a:effectLst/>
                                <a:latin typeface="Cambria Math" panose="02040503050406030204" pitchFamily="18" charset="0"/>
                                <a:ea typeface="+mn-ea"/>
                                <a:cs typeface="+mn-cs"/>
                              </a:rPr>
                              <m:t>+</m:t>
                            </m:r>
                          </m:sup>
                        </m:sSup>
                      </m:num>
                      <m:den>
                        <m:r>
                          <a:rPr lang="en-CA" sz="1400" b="0" i="1" kern="1200">
                            <a:solidFill>
                              <a:schemeClr val="tx1"/>
                            </a:solidFill>
                            <a:effectLst/>
                            <a:latin typeface="Cambria Math" panose="02040503050406030204" pitchFamily="18" charset="0"/>
                            <a:ea typeface="+mn-ea"/>
                            <a:cs typeface="+mn-cs"/>
                          </a:rPr>
                          <m:t>2</m:t>
                        </m:r>
                      </m:den>
                    </m:f>
                  </m:oMath>
                </m:oMathPara>
              </a14:m>
              <a:endParaRPr lang="en-CA" sz="1400" b="0">
                <a:effectLst/>
              </a:endParaRPr>
            </a:p>
            <a:p>
              <a:pPr algn="ctr"/>
              <a:endParaRPr lang="en-US" sz="1200" baseline="30000"/>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spcAft>
                  <a:spcPts val="300"/>
                </a:spcAft>
              </a:pPr>
              <a:r>
                <a:rPr lang="en-US" sz="1200" i="0">
                  <a:latin typeface="Cambria Math" panose="02040503050406030204" pitchFamily="18" charset="0"/>
                </a:rPr>
                <a:t>𝑉_𝑜𝑢𝑡=−(𝑅_𝐹/𝑅_1 ) 𝑉_𝑖𝑛+(1+𝑅_𝐹/𝑅_1 ) 𝑉_𝑏</a:t>
              </a:r>
              <a:endParaRPr lang="en-US" sz="1100" baseline="30000"/>
            </a:p>
            <a:p>
              <a:pPr>
                <a:spcAft>
                  <a:spcPts val="300"/>
                </a:spcAft>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400">
                <a:effectLst/>
              </a:endParaRPr>
            </a:p>
            <a:p>
              <a:pPr>
                <a:spcAft>
                  <a:spcPts val="300"/>
                </a:spcAft>
              </a:pPr>
              <a:r>
                <a:rPr lang="en-US" sz="1400" b="0" i="0" kern="1200">
                  <a:solidFill>
                    <a:schemeClr val="tx1"/>
                  </a:solidFill>
                  <a:effectLst/>
                  <a:latin typeface="Cambria Math" panose="02040503050406030204" pitchFamily="18" charset="0"/>
                  <a:ea typeface="+mn-ea"/>
                  <a:cs typeface="+mn-cs"/>
                </a:rPr>
                <a:t>𝑉_𝑜𝑢𝑡=𝐴_𝑣 𝑉_𝑖𝑛+(1−𝐴_𝑣 ) 𝑉_𝑏</a:t>
              </a:r>
              <a:endParaRPr lang="en-CA" sz="1400" b="0">
                <a:effectLst/>
              </a:endParaRPr>
            </a:p>
            <a:p>
              <a:pPr algn="ctr">
                <a:spcAft>
                  <a:spcPts val="300"/>
                </a:spcAft>
              </a:pPr>
              <a:r>
                <a:rPr lang="en-US" sz="1400" b="0" i="0" kern="1200">
                  <a:solidFill>
                    <a:schemeClr val="tx1"/>
                  </a:solidFill>
                  <a:effectLst/>
                  <a:latin typeface="Cambria Math" panose="02040503050406030204" pitchFamily="18" charset="0"/>
                  <a:ea typeface="+mn-ea"/>
                  <a:cs typeface="+mn-cs"/>
                </a:rPr>
                <a:t>𝑉_𝑜𝑢𝑡=𝐴_𝑣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𝑉〗_𝑖𝑛</a:t>
              </a:r>
              <a:r>
                <a:rPr lang="en-CA" sz="1400" b="0" i="0" kern="1200">
                  <a:solidFill>
                    <a:schemeClr val="tx1"/>
                  </a:solidFill>
                  <a:effectLst/>
                  <a:latin typeface="Cambria Math" panose="02040503050406030204" pitchFamily="18" charset="0"/>
                  <a:ea typeface="+mn-ea"/>
                  <a:cs typeface="+mn-cs"/>
                </a:rPr>
                <a:t>−𝑉_𝑏)</a:t>
              </a:r>
              <a:r>
                <a:rPr lang="en-US" sz="1400" b="0" i="0" kern="1200">
                  <a:solidFill>
                    <a:schemeClr val="tx1"/>
                  </a:solidFill>
                  <a:effectLst/>
                  <a:latin typeface="Cambria Math" panose="02040503050406030204" pitchFamily="18" charset="0"/>
                  <a:ea typeface="+mn-ea"/>
                  <a:cs typeface="+mn-cs"/>
                </a:rPr>
                <a:t>+𝑉_𝑏</a:t>
              </a:r>
              <a:endParaRPr lang="en-US" sz="1400" b="0" baseline="30000"/>
            </a:p>
            <a:p>
              <a:pPr marL="0" marR="0" lvl="0" indent="0" algn="ctr" defTabSz="457200" rtl="0" eaLnBrk="1" fontAlgn="auto" latinLnBrk="0" hangingPunct="1">
                <a:lnSpc>
                  <a:spcPct val="100000"/>
                </a:lnSpc>
                <a:spcBef>
                  <a:spcPts val="0"/>
                </a:spcBef>
                <a:spcAft>
                  <a:spcPts val="300"/>
                </a:spcAft>
                <a:buClrTx/>
                <a:buSzTx/>
                <a:buFontTx/>
                <a:buNone/>
                <a:tabLst/>
                <a:defRPr/>
              </a:pPr>
              <a:r>
                <a:rPr lang="en-US" sz="1400" b="0" i="0" kern="1200">
                  <a:solidFill>
                    <a:schemeClr val="tx1"/>
                  </a:solidFill>
                  <a:effectLst/>
                  <a:latin typeface="Cambria Math" panose="02040503050406030204" pitchFamily="18" charset="0"/>
                  <a:ea typeface="+mn-ea"/>
                  <a:cs typeface="+mn-cs"/>
                </a:rPr>
                <a:t>𝑉_𝑜𝑢𝑡=𝐴_𝑣 〖</a:t>
              </a:r>
              <a:r>
                <a:rPr lang="en-CA" sz="14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𝑉〗_𝑖𝑛</a:t>
              </a:r>
              <a:r>
                <a:rPr lang="en-CA" sz="1400" b="0" i="0" kern="1200">
                  <a:solidFill>
                    <a:schemeClr val="tx1"/>
                  </a:solidFill>
                  <a:effectLst/>
                  <a:latin typeface="Cambria Math" panose="02040503050406030204" pitchFamily="18" charset="0"/>
                  <a:ea typeface="+mn-ea"/>
                  <a:cs typeface="+mn-cs"/>
                </a:rPr>
                <a:t>−𝑉^+/2)</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𝑉^+/2</a:t>
              </a:r>
              <a:endParaRPr lang="en-CA" sz="1400" b="0">
                <a:effectLst/>
              </a:endParaRPr>
            </a:p>
            <a:p>
              <a:pPr algn="ctr"/>
              <a:endParaRPr lang="en-US" sz="1200" baseline="30000"/>
            </a:p>
            <a:p>
              <a:pPr algn="ctr"/>
              <a:endParaRPr lang="en-US" sz="1200" baseline="30000"/>
            </a:p>
          </xdr:txBody>
        </xdr:sp>
      </mc:Fallback>
    </mc:AlternateContent>
    <xdr:clientData/>
  </xdr:twoCellAnchor>
  <xdr:twoCellAnchor editAs="oneCell">
    <xdr:from>
      <xdr:col>12</xdr:col>
      <xdr:colOff>119783</xdr:colOff>
      <xdr:row>1</xdr:row>
      <xdr:rowOff>11546</xdr:rowOff>
    </xdr:from>
    <xdr:to>
      <xdr:col>18</xdr:col>
      <xdr:colOff>76782</xdr:colOff>
      <xdr:row>12</xdr:row>
      <xdr:rowOff>136525</xdr:rowOff>
    </xdr:to>
    <xdr:pic>
      <xdr:nvPicPr>
        <xdr:cNvPr id="6" name="Picture 5">
          <a:extLst>
            <a:ext uri="{FF2B5EF4-FFF2-40B4-BE49-F238E27FC236}">
              <a16:creationId xmlns:a16="http://schemas.microsoft.com/office/drawing/2014/main" id="{50A6F07C-89C6-E47C-02C8-0A6D597CC11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848823" y="685031"/>
          <a:ext cx="3805484" cy="2222403"/>
        </a:xfrm>
        <a:prstGeom prst="rect">
          <a:avLst/>
        </a:prstGeom>
      </xdr:spPr>
    </xdr:pic>
    <xdr:clientData/>
  </xdr:twoCellAnchor>
  <xdr:twoCellAnchor editAs="oneCell">
    <xdr:from>
      <xdr:col>17</xdr:col>
      <xdr:colOff>461818</xdr:colOff>
      <xdr:row>13</xdr:row>
      <xdr:rowOff>57727</xdr:rowOff>
    </xdr:from>
    <xdr:to>
      <xdr:col>24</xdr:col>
      <xdr:colOff>88213</xdr:colOff>
      <xdr:row>25</xdr:row>
      <xdr:rowOff>2391</xdr:rowOff>
    </xdr:to>
    <xdr:pic>
      <xdr:nvPicPr>
        <xdr:cNvPr id="3" name="Picture 2">
          <a:extLst>
            <a:ext uri="{FF2B5EF4-FFF2-40B4-BE49-F238E27FC236}">
              <a16:creationId xmlns:a16="http://schemas.microsoft.com/office/drawing/2014/main" id="{261635FB-5400-B687-5ED4-9A5BEEDC0546}"/>
            </a:ext>
          </a:extLst>
        </xdr:cNvPr>
        <xdr:cNvPicPr>
          <a:picLocks noChangeAspect="1"/>
        </xdr:cNvPicPr>
      </xdr:nvPicPr>
      <xdr:blipFill>
        <a:blip xmlns:r="http://schemas.openxmlformats.org/officeDocument/2006/relationships" r:embed="rId3"/>
        <a:stretch>
          <a:fillRect/>
        </a:stretch>
      </xdr:blipFill>
      <xdr:spPr>
        <a:xfrm>
          <a:off x="10814242" y="3117272"/>
          <a:ext cx="3869350" cy="225375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DC3150DF-A60C-49D5-9259-8B707507D6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198437</xdr:colOff>
      <xdr:row>5</xdr:row>
      <xdr:rowOff>119062</xdr:rowOff>
    </xdr:from>
    <xdr:to>
      <xdr:col>17</xdr:col>
      <xdr:colOff>553617</xdr:colOff>
      <xdr:row>16</xdr:row>
      <xdr:rowOff>118534</xdr:rowOff>
    </xdr:to>
    <xdr:pic>
      <xdr:nvPicPr>
        <xdr:cNvPr id="6" name="Picture 5">
          <a:extLst>
            <a:ext uri="{FF2B5EF4-FFF2-40B4-BE49-F238E27FC236}">
              <a16:creationId xmlns:a16="http://schemas.microsoft.com/office/drawing/2014/main" id="{51BF4F67-DC9E-497B-9327-778A24CD7B24}"/>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7659687" y="1508125"/>
          <a:ext cx="3381352" cy="2102909"/>
        </a:xfrm>
        <a:prstGeom prst="rect">
          <a:avLst/>
        </a:prstGeom>
      </xdr:spPr>
    </xdr:pic>
    <xdr:clientData/>
  </xdr:twoCellAnchor>
  <xdr:twoCellAnchor>
    <xdr:from>
      <xdr:col>13</xdr:col>
      <xdr:colOff>406798</xdr:colOff>
      <xdr:row>17</xdr:row>
      <xdr:rowOff>89297</xdr:rowOff>
    </xdr:from>
    <xdr:to>
      <xdr:col>18</xdr:col>
      <xdr:colOff>99219</xdr:colOff>
      <xdr:row>25</xdr:row>
      <xdr:rowOff>119063</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5.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EAF0C6D4-E74F-46C8-BA16-1DEA85054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5" name="Chart 4">
          <a:extLst>
            <a:ext uri="{FF2B5EF4-FFF2-40B4-BE49-F238E27FC236}">
              <a16:creationId xmlns:a16="http://schemas.microsoft.com/office/drawing/2014/main" id="{01CB6218-790F-4523-8D26-10AC7EBF8B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19845</xdr:colOff>
      <xdr:row>14</xdr:row>
      <xdr:rowOff>128985</xdr:rowOff>
    </xdr:from>
    <xdr:to>
      <xdr:col>20</xdr:col>
      <xdr:colOff>89297</xdr:colOff>
      <xdr:row>32</xdr:row>
      <xdr:rowOff>19050</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𝑖𝑛</m:t>
                        </m:r>
                      </m:sub>
                    </m:sSub>
                    <m:r>
                      <a:rPr lang="en-US" sz="1400" i="1">
                        <a:latin typeface="Cambria Math" panose="02040503050406030204" pitchFamily="18" charset="0"/>
                      </a:rPr>
                      <m:t>+</m:t>
                    </m:r>
                    <m:d>
                      <m:dPr>
                        <m:ctrlPr>
                          <a:rPr lang="en-US" sz="1400" i="1">
                            <a:latin typeface="Cambria Math" panose="02040503050406030204" pitchFamily="18" charset="0"/>
                          </a:rPr>
                        </m:ctrlPr>
                      </m:dPr>
                      <m:e>
                        <m:r>
                          <a:rPr lang="en-US" sz="1400" i="1">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𝑏</m:t>
                        </m:r>
                      </m:sub>
                    </m:sSub>
                  </m:oMath>
                </m:oMathPara>
              </a14:m>
              <a:endParaRPr lang="en-US" sz="1200" baseline="30000"/>
            </a:p>
            <a:p>
              <a:pPr/>
              <a14:m>
                <m:oMathPara xmlns:m="http://schemas.openxmlformats.org/officeDocument/2006/math">
                  <m:oMathParaPr>
                    <m:jc m:val="centerGroup"/>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𝐹</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kern="120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r>
                              <a:rPr lang="en-US" sz="1100" b="0" i="1" kern="1200">
                                <a:solidFill>
                                  <a:schemeClr val="tx1"/>
                                </a:solidFill>
                                <a:effectLst/>
                                <a:latin typeface="Cambria Math" panose="02040503050406030204" pitchFamily="18" charset="0"/>
                                <a:ea typeface="+mn-ea"/>
                                <a:cs typeface="+mn-cs"/>
                              </a:rPr>
                              <m:t>1+</m:t>
                            </m:r>
                            <m:sSup>
                              <m:sSupPr>
                                <m:ctrlPr>
                                  <a:rPr lang="en-US" sz="1100" b="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𝑓</m:t>
                                            </m:r>
                                          </m:e>
                                          <m:sub>
                                            <m:r>
                                              <a:rPr lang="en-US" sz="1100" i="1" kern="1200">
                                                <a:solidFill>
                                                  <a:schemeClr val="tx1"/>
                                                </a:solidFill>
                                                <a:effectLst/>
                                                <a:latin typeface="Cambria Math" panose="02040503050406030204" pitchFamily="18" charset="0"/>
                                                <a:ea typeface="+mn-ea"/>
                                                <a:cs typeface="+mn-cs"/>
                                              </a:rPr>
                                              <m:t>𝑐</m:t>
                                            </m:r>
                                          </m:sub>
                                        </m:sSub>
                                      </m:den>
                                    </m:f>
                                  </m:e>
                                </m:d>
                              </m:e>
                              <m:sup>
                                <m:r>
                                  <a:rPr lang="en-US" sz="1100" b="0" i="1" kern="1200">
                                    <a:solidFill>
                                      <a:schemeClr val="tx1"/>
                                    </a:solidFill>
                                    <a:effectLst/>
                                    <a:latin typeface="Cambria Math" panose="02040503050406030204" pitchFamily="18" charset="0"/>
                                    <a:ea typeface="+mn-ea"/>
                                    <a:cs typeface="+mn-cs"/>
                                  </a:rPr>
                                  <m:t>2</m:t>
                                </m:r>
                              </m:sup>
                            </m:sSup>
                          </m:e>
                        </m:rad>
                      </m:den>
                    </m:f>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m:oMathPara>
              </a14:m>
              <a:endParaRPr lang="en-US" sz="1200" b="0">
                <a:effectLst/>
              </a:endParaRPr>
            </a:p>
            <a:p>
              <a:pPr algn="ctr"/>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200">
                <a:effectLst/>
              </a:endParaRPr>
            </a:p>
            <a:p>
              <a:pPr algn="ct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i="1" kern="1200">
                      <a:solidFill>
                        <a:schemeClr val="tx1"/>
                      </a:solidFill>
                      <a:effectLst/>
                      <a:latin typeface="Cambria Math" panose="02040503050406030204" pitchFamily="18" charset="0"/>
                      <a:ea typeface="+mn-ea"/>
                      <a:cs typeface="+mn-cs"/>
                    </a:rPr>
                    <m:t>=</m:t>
                  </m:r>
                </m:oMath>
              </a14:m>
              <a:r>
                <a:rPr lang="en-US" sz="1600" kern="1200">
                  <a:solidFill>
                    <a:schemeClr val="tx1"/>
                  </a:solidFill>
                  <a:effectLst/>
                  <a:latin typeface="+mn-lt"/>
                  <a:ea typeface="+mn-ea"/>
                  <a:cs typeface="+mn-cs"/>
                </a:rPr>
                <a:t>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f>
                    <m:fPr>
                      <m:ctrlPr>
                        <a:rPr lang="en-US" sz="160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f>
                        <m:fPr>
                          <m:ctrlPr>
                            <a:rPr lang="en-US" sz="1600" b="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a14:m>
              <a:endParaRPr lang="en-US" sz="1200" b="0">
                <a:effectLst/>
              </a:endParaRPr>
            </a:p>
            <a:p>
              <a:endParaRPr lang="en-US" sz="1400">
                <a:effectLst/>
              </a:endParaRPr>
            </a:p>
            <a:p>
              <a:pPr algn="ctr"/>
              <a:endParaRPr lang="en-US" sz="1400" baseline="30000"/>
            </a:p>
          </xdr:txBody>
        </xdr:sp>
      </mc:Choice>
      <mc:Fallback xmlns="">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r>
                <a:rPr lang="en-US" sz="1400" i="0">
                  <a:latin typeface="Cambria Math" panose="02040503050406030204" pitchFamily="18" charset="0"/>
                </a:rPr>
                <a:t>𝑉_𝑜𝑢𝑡=−(𝑅_𝐹/𝑅_1 ) 𝑉_𝑖𝑛+(1+𝑅_𝐹/𝑅_1 ) 𝑉_𝑏</a:t>
              </a:r>
              <a:endParaRPr lang="en-US" sz="1200" baseline="30000"/>
            </a:p>
            <a:p>
              <a:pPr/>
              <a:r>
                <a:rPr lang="en-US" sz="1050" i="0" kern="1200">
                  <a:solidFill>
                    <a:schemeClr val="tx1"/>
                  </a:solidFill>
                  <a:effectLst/>
                  <a:latin typeface="Cambria Math" panose="02040503050406030204" pitchFamily="18" charset="0"/>
                  <a:ea typeface="+mn-ea"/>
                  <a:cs typeface="+mn-cs"/>
                </a:rPr>
                <a:t>𝐴_𝑣=𝑉_𝑜𝑢𝑡/𝑉_𝑖𝑛 =</a:t>
              </a:r>
              <a:r>
                <a:rPr lang="en-US" sz="1100" i="0" kern="1200">
                  <a:solidFill>
                    <a:schemeClr val="tx1"/>
                  </a:solidFill>
                  <a:effectLst/>
                  <a:latin typeface="+mn-lt"/>
                  <a:ea typeface="+mn-ea"/>
                  <a:cs typeface="+mn-cs"/>
                </a:rPr>
                <a:t>(−𝑅_𝐹/𝑅_1 )/√(</a:t>
              </a:r>
              <a:r>
                <a:rPr lang="en-US" sz="1100" b="0" i="0" kern="1200">
                  <a:solidFill>
                    <a:schemeClr val="tx1"/>
                  </a:solidFill>
                  <a:effectLst/>
                  <a:latin typeface="+mn-lt"/>
                  <a:ea typeface="+mn-ea"/>
                  <a:cs typeface="+mn-cs"/>
                </a:rPr>
                <a:t>1+(</a:t>
              </a:r>
              <a:r>
                <a:rPr lang="en-US" sz="1100" i="0" kern="1200">
                  <a:solidFill>
                    <a:schemeClr val="tx1"/>
                  </a:solidFill>
                  <a:effectLst/>
                  <a:latin typeface="+mn-lt"/>
                  <a:ea typeface="+mn-ea"/>
                  <a:cs typeface="+mn-cs"/>
                </a:rPr>
                <a:t>𝑓/𝑓_𝑐 )</a:t>
              </a:r>
              <a:r>
                <a:rPr lang="en-US" sz="1100" b="0" i="0" kern="1200">
                  <a:solidFill>
                    <a:schemeClr val="tx1"/>
                  </a:solidFill>
                  <a:effectLst/>
                  <a:latin typeface="+mn-lt"/>
                  <a:ea typeface="+mn-ea"/>
                  <a:cs typeface="+mn-cs"/>
                </a:rPr>
                <a:t>^2 )</a:t>
              </a:r>
              <a:endParaRPr lang="en-US" sz="1200">
                <a:effectLst/>
              </a:endParaRPr>
            </a:p>
            <a:p>
              <a:pPr/>
              <a:r>
                <a:rPr lang="en-US" sz="16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a:effectLst/>
              </a:endParaRPr>
            </a:p>
            <a:p>
              <a:pPr algn="ctr"/>
              <a:r>
                <a:rPr lang="en-US" sz="1600" kern="1200">
                  <a:solidFill>
                    <a:schemeClr val="tx1"/>
                  </a:solidFill>
                  <a:effectLst/>
                  <a:latin typeface="+mn-lt"/>
                  <a:ea typeface="+mn-ea"/>
                  <a:cs typeface="+mn-cs"/>
                </a:rPr>
                <a:t>Cutoff Frequency: </a:t>
              </a:r>
              <a:r>
                <a:rPr lang="en-US" sz="1600" i="0" kern="1200">
                  <a:solidFill>
                    <a:schemeClr val="tx1"/>
                  </a:solidFill>
                  <a:effectLst/>
                  <a:latin typeface="Cambria Math" panose="02040503050406030204" pitchFamily="18" charset="0"/>
                  <a:ea typeface="+mn-ea"/>
                  <a:cs typeface="+mn-cs"/>
                </a:rPr>
                <a:t>𝑓_𝑐=1/(2𝜋𝑅_𝐹 𝐶_1 )</a:t>
              </a:r>
              <a:endParaRPr lang="en-US" sz="1200">
                <a:effectLst/>
              </a:endParaRPr>
            </a:p>
            <a:p>
              <a:pPr algn="ctr"/>
              <a:r>
                <a:rPr lang="en-US" sz="1600" b="0" i="0" kern="1200">
                  <a:solidFill>
                    <a:schemeClr val="tx1"/>
                  </a:solidFill>
                  <a:effectLst/>
                  <a:latin typeface="Cambria Math" panose="02040503050406030204" pitchFamily="18" charset="0"/>
                  <a:ea typeface="+mn-ea"/>
                  <a:cs typeface="+mn-cs"/>
                </a:rPr>
                <a:t>𝑉_𝑜𝑢𝑡=</a:t>
              </a:r>
              <a:r>
                <a:rPr lang="en-US" sz="160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𝑉_</a:t>
              </a:r>
              <a:r>
                <a:rPr lang="en-US" sz="1600" b="0" i="0" kern="1200">
                  <a:solidFill>
                    <a:schemeClr val="tx1"/>
                  </a:solidFill>
                  <a:effectLst/>
                  <a:latin typeface="Cambria Math" panose="02040503050406030204" pitchFamily="18" charset="0"/>
                  <a:ea typeface="+mn-ea"/>
                  <a:cs typeface="+mn-cs"/>
                </a:rPr>
                <a:t>𝑖𝑛 </a:t>
              </a:r>
              <a:r>
                <a:rPr lang="en-US" sz="1800" i="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a:t>
              </a:r>
              <a:r>
                <a:rPr lang="en-US" sz="1800" i="0" kern="1200">
                  <a:solidFill>
                    <a:schemeClr val="tx1"/>
                  </a:solidFill>
                  <a:effectLst/>
                  <a:latin typeface="+mn-lt"/>
                  <a:ea typeface="+mn-ea"/>
                  <a:cs typeface="+mn-cs"/>
                </a:rPr>
                <a:t>−𝑅_𝐹/𝑅_1 </a:t>
              </a:r>
              <a:r>
                <a:rPr lang="en-US" sz="1600" i="0" kern="1200">
                  <a:solidFill>
                    <a:schemeClr val="tx1"/>
                  </a:solidFill>
                  <a:effectLst/>
                  <a:latin typeface="Cambria Math" panose="02040503050406030204" pitchFamily="18" charset="0"/>
                  <a:ea typeface="+mn-ea"/>
                  <a:cs typeface="+mn-cs"/>
                </a:rPr>
                <a:t>)/√(</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^2 )+(1−(</a:t>
              </a:r>
              <a:r>
                <a:rPr lang="en-US" sz="1800" i="0" kern="1200">
                  <a:solidFill>
                    <a:schemeClr val="tx1"/>
                  </a:solidFill>
                  <a:effectLst/>
                  <a:latin typeface="+mn-lt"/>
                  <a:ea typeface="+mn-ea"/>
                  <a:cs typeface="+mn-cs"/>
                </a:rPr>
                <a:t>−𝑅_𝐹/𝑅_1 </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 𝑉_𝑏</a:t>
              </a:r>
              <a:endParaRPr lang="en-US" sz="1200" b="0">
                <a:effectLst/>
              </a:endParaRPr>
            </a:p>
            <a:p>
              <a:endParaRPr lang="en-US" sz="1400">
                <a:effectLst/>
              </a:endParaRPr>
            </a:p>
            <a:p>
              <a:pPr algn="ctr"/>
              <a:endParaRPr lang="en-US" sz="1400" baseline="30000"/>
            </a:p>
          </xdr:txBody>
        </xdr:sp>
      </mc:Fallback>
    </mc:AlternateContent>
    <xdr:clientData/>
  </xdr:twoCellAnchor>
  <xdr:twoCellAnchor editAs="oneCell">
    <xdr:from>
      <xdr:col>13</xdr:col>
      <xdr:colOff>198438</xdr:colOff>
      <xdr:row>0</xdr:row>
      <xdr:rowOff>565547</xdr:rowOff>
    </xdr:from>
    <xdr:to>
      <xdr:col>18</xdr:col>
      <xdr:colOff>486172</xdr:colOff>
      <xdr:row>13</xdr:row>
      <xdr:rowOff>172970</xdr:rowOff>
    </xdr:to>
    <xdr:pic>
      <xdr:nvPicPr>
        <xdr:cNvPr id="7" name="Picture 6">
          <a:extLst>
            <a:ext uri="{FF2B5EF4-FFF2-40B4-BE49-F238E27FC236}">
              <a16:creationId xmlns:a16="http://schemas.microsoft.com/office/drawing/2014/main" id="{CBF7B054-3065-4F9A-A9AE-E60C4C1FF6AF}"/>
            </a:ext>
          </a:extLst>
        </xdr:cNvPr>
        <xdr:cNvPicPr>
          <a:picLocks noChangeAspect="1"/>
        </xdr:cNvPicPr>
      </xdr:nvPicPr>
      <xdr:blipFill>
        <a:blip xmlns:r="http://schemas.openxmlformats.org/officeDocument/2006/relationships" r:embed="rId3"/>
        <a:stretch>
          <a:fillRect/>
        </a:stretch>
      </xdr:blipFill>
      <xdr:spPr>
        <a:xfrm>
          <a:off x="7788672" y="565547"/>
          <a:ext cx="3313906" cy="2554220"/>
        </a:xfrm>
        <a:prstGeom prst="rect">
          <a:avLst/>
        </a:prstGeom>
      </xdr:spPr>
    </xdr:pic>
    <xdr:clientData/>
  </xdr:twoCellAnchor>
  <xdr:twoCellAnchor>
    <xdr:from>
      <xdr:col>20</xdr:col>
      <xdr:colOff>218281</xdr:colOff>
      <xdr:row>14</xdr:row>
      <xdr:rowOff>128984</xdr:rowOff>
    </xdr:from>
    <xdr:to>
      <xdr:col>25</xdr:col>
      <xdr:colOff>486173</xdr:colOff>
      <xdr:row>25</xdr:row>
      <xdr:rowOff>59531</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𝑏</m:t>
                        </m:r>
                      </m:sub>
                    </m:sSub>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𝑉_𝑖𝑛+(1+(𝑅_𝐹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𝑉_𝑏</a:t>
              </a:r>
              <a:endParaRPr lang="en-CA" sz="1600">
                <a:effectLst/>
              </a:endParaRPr>
            </a:p>
            <a:p>
              <a:pPr/>
              <a:r>
                <a:rPr lang="en-US" sz="1400" i="0" kern="1200">
                  <a:solidFill>
                    <a:schemeClr val="tx1"/>
                  </a:solidFill>
                  <a:effectLst/>
                  <a:latin typeface="Cambria Math" panose="02040503050406030204" pitchFamily="18" charset="0"/>
                  <a:ea typeface="+mn-ea"/>
                  <a:cs typeface="+mn-cs"/>
                </a:rPr>
                <a:t>𝐴_𝑣=𝑉_𝑜𝑢𝑡/𝑉_𝑖𝑛 =−(𝑅_𝐹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2000">
                <a:effectLst/>
              </a:endParaRPr>
            </a:p>
            <a:p>
              <a:endParaRPr lang="en-CA" sz="2000">
                <a:effectLst/>
              </a:endParaRPr>
            </a:p>
            <a:p>
              <a:endParaRPr lang="en-US" b="0">
                <a:solidFill>
                  <a:schemeClr val="tx1"/>
                </a:solidFill>
              </a:endParaRPr>
            </a:p>
          </xdr:txBody>
        </xdr:sp>
      </mc:Fallback>
    </mc:AlternateContent>
    <xdr:clientData/>
  </xdr:twoCellAnchor>
  <xdr:twoCellAnchor editAs="oneCell">
    <xdr:from>
      <xdr:col>14</xdr:col>
      <xdr:colOff>0</xdr:colOff>
      <xdr:row>33</xdr:row>
      <xdr:rowOff>0</xdr:rowOff>
    </xdr:from>
    <xdr:to>
      <xdr:col>26</xdr:col>
      <xdr:colOff>92915</xdr:colOff>
      <xdr:row>55</xdr:row>
      <xdr:rowOff>56063</xdr:rowOff>
    </xdr:to>
    <xdr:pic>
      <xdr:nvPicPr>
        <xdr:cNvPr id="10" name="Picture 9">
          <a:extLst>
            <a:ext uri="{FF2B5EF4-FFF2-40B4-BE49-F238E27FC236}">
              <a16:creationId xmlns:a16="http://schemas.microsoft.com/office/drawing/2014/main" id="{E98507FB-4BE3-D98F-3839-24C625D9804C}"/>
            </a:ext>
          </a:extLst>
        </xdr:cNvPr>
        <xdr:cNvPicPr>
          <a:picLocks noChangeAspect="1"/>
        </xdr:cNvPicPr>
      </xdr:nvPicPr>
      <xdr:blipFill>
        <a:blip xmlns:r="http://schemas.openxmlformats.org/officeDocument/2006/relationships" r:embed="rId4"/>
        <a:stretch>
          <a:fillRect/>
        </a:stretch>
      </xdr:blipFill>
      <xdr:spPr>
        <a:xfrm>
          <a:off x="8987118" y="6813176"/>
          <a:ext cx="7354326" cy="4258269"/>
        </a:xfrm>
        <a:prstGeom prst="rect">
          <a:avLst/>
        </a:prstGeom>
      </xdr:spPr>
    </xdr:pic>
    <xdr:clientData/>
  </xdr:twoCellAnchor>
  <xdr:twoCellAnchor editAs="oneCell">
    <xdr:from>
      <xdr:col>14</xdr:col>
      <xdr:colOff>22412</xdr:colOff>
      <xdr:row>55</xdr:row>
      <xdr:rowOff>100853</xdr:rowOff>
    </xdr:from>
    <xdr:to>
      <xdr:col>26</xdr:col>
      <xdr:colOff>363012</xdr:colOff>
      <xdr:row>71</xdr:row>
      <xdr:rowOff>72699</xdr:rowOff>
    </xdr:to>
    <xdr:pic>
      <xdr:nvPicPr>
        <xdr:cNvPr id="11" name="Picture 10">
          <a:extLst>
            <a:ext uri="{FF2B5EF4-FFF2-40B4-BE49-F238E27FC236}">
              <a16:creationId xmlns:a16="http://schemas.microsoft.com/office/drawing/2014/main" id="{A9452EC0-8E4F-A020-48D3-D5B3ADB07A94}"/>
            </a:ext>
          </a:extLst>
        </xdr:cNvPr>
        <xdr:cNvPicPr>
          <a:picLocks noChangeAspect="1"/>
        </xdr:cNvPicPr>
      </xdr:nvPicPr>
      <xdr:blipFill>
        <a:blip xmlns:r="http://schemas.openxmlformats.org/officeDocument/2006/relationships" r:embed="rId5"/>
        <a:stretch>
          <a:fillRect/>
        </a:stretch>
      </xdr:blipFill>
      <xdr:spPr>
        <a:xfrm>
          <a:off x="9009530" y="11116235"/>
          <a:ext cx="7602011" cy="3019846"/>
        </a:xfrm>
        <a:prstGeom prst="rect">
          <a:avLst/>
        </a:prstGeom>
      </xdr:spPr>
    </xdr:pic>
    <xdr:clientData/>
  </xdr:twoCellAnchor>
  <xdr:twoCellAnchor editAs="oneCell">
    <xdr:from>
      <xdr:col>13</xdr:col>
      <xdr:colOff>593912</xdr:colOff>
      <xdr:row>72</xdr:row>
      <xdr:rowOff>168088</xdr:rowOff>
    </xdr:from>
    <xdr:to>
      <xdr:col>25</xdr:col>
      <xdr:colOff>134299</xdr:colOff>
      <xdr:row>86</xdr:row>
      <xdr:rowOff>111302</xdr:rowOff>
    </xdr:to>
    <xdr:pic>
      <xdr:nvPicPr>
        <xdr:cNvPr id="12" name="Picture 11">
          <a:extLst>
            <a:ext uri="{FF2B5EF4-FFF2-40B4-BE49-F238E27FC236}">
              <a16:creationId xmlns:a16="http://schemas.microsoft.com/office/drawing/2014/main" id="{E481B20E-EAFD-D099-ACBF-B79D555C44D3}"/>
            </a:ext>
          </a:extLst>
        </xdr:cNvPr>
        <xdr:cNvPicPr>
          <a:picLocks noChangeAspect="1"/>
        </xdr:cNvPicPr>
      </xdr:nvPicPr>
      <xdr:blipFill>
        <a:blip xmlns:r="http://schemas.openxmlformats.org/officeDocument/2006/relationships" r:embed="rId6"/>
        <a:stretch>
          <a:fillRect/>
        </a:stretch>
      </xdr:blipFill>
      <xdr:spPr>
        <a:xfrm>
          <a:off x="8975912" y="14421970"/>
          <a:ext cx="6801799" cy="261021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0C951E86-5F3E-4E6A-8A2A-680283DC18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3" name="Chart 2">
          <a:extLst>
            <a:ext uri="{FF2B5EF4-FFF2-40B4-BE49-F238E27FC236}">
              <a16:creationId xmlns:a16="http://schemas.microsoft.com/office/drawing/2014/main" id="{E8CE44DF-2859-401B-8EDB-E7AB28954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104775</xdr:colOff>
      <xdr:row>0</xdr:row>
      <xdr:rowOff>409574</xdr:rowOff>
    </xdr:from>
    <xdr:to>
      <xdr:col>20</xdr:col>
      <xdr:colOff>476250</xdr:colOff>
      <xdr:row>13</xdr:row>
      <xdr:rowOff>40927</xdr:rowOff>
    </xdr:to>
    <xdr:pic>
      <xdr:nvPicPr>
        <xdr:cNvPr id="7" name="Picture 6">
          <a:extLst>
            <a:ext uri="{FF2B5EF4-FFF2-40B4-BE49-F238E27FC236}">
              <a16:creationId xmlns:a16="http://schemas.microsoft.com/office/drawing/2014/main" id="{9FAA2372-41AA-4977-AB21-C7AB0F392BDF}"/>
            </a:ext>
          </a:extLst>
        </xdr:cNvPr>
        <xdr:cNvPicPr>
          <a:picLocks noChangeAspect="1"/>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9124950" y="409574"/>
          <a:ext cx="4029075" cy="2603153"/>
        </a:xfrm>
        <a:prstGeom prst="rect">
          <a:avLst/>
        </a:prstGeom>
      </xdr:spPr>
    </xdr:pic>
    <xdr:clientData/>
  </xdr:twoCellAnchor>
  <xdr:twoCellAnchor>
    <xdr:from>
      <xdr:col>14</xdr:col>
      <xdr:colOff>304799</xdr:colOff>
      <xdr:row>14</xdr:row>
      <xdr:rowOff>28576</xdr:rowOff>
    </xdr:from>
    <xdr:to>
      <xdr:col>21</xdr:col>
      <xdr:colOff>57150</xdr:colOff>
      <xdr:row>31</xdr:row>
      <xdr:rowOff>179294</xdr:rowOff>
    </xdr:to>
    <mc:AlternateContent xmlns:mc="http://schemas.openxmlformats.org/markup-compatibility/2006">
      <mc:Choice xmlns:a14="http://schemas.microsoft.com/office/drawing/2010/main" Requires="a14">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291917" y="3222252"/>
              <a:ext cx="3988174" cy="34004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d>
                          <m:d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𝐹</m:t>
                                    </m:r>
                                  </m:sub>
                                </m:sSub>
                              </m:num>
                              <m:den>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1</m:t>
                                    </m:r>
                                  </m:sub>
                                </m:sSub>
                              </m:den>
                            </m:f>
                          </m:e>
                        </m:d>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num>
                      <m:den>
                        <m:rad>
                          <m:radPr>
                            <m:degHide m:val="on"/>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1+</m:t>
                            </m:r>
                            <m:sSup>
                              <m:sSupPr>
                                <m:ctrlPr>
                                  <a:rPr lang="en-CA"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pPr>
                              <m:e>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e>
                              <m:sup>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2</m:t>
                                </m:r>
                              </m:sup>
                            </m:sSup>
                          </m:e>
                        </m:rad>
                      </m:den>
                    </m:f>
                  </m:oMath>
                </m:oMathPara>
              </a14:m>
              <a:endParaRPr lang="en-CA" sz="32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𝑜𝑢𝑡</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𝑖𝑛</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type m:val="skw"/>
                        <m:ctrlPr>
                          <a:rPr lang="en-US" sz="1400" i="1" kern="1200">
                            <a:solidFill>
                              <a:srgbClr val="000000"/>
                            </a:solidFill>
                            <a:effectLst/>
                            <a:latin typeface="Cambria Math" panose="02040503050406030204" pitchFamily="18" charset="0"/>
                            <a:cs typeface="Times New Roman" panose="02020603050405020304" pitchFamily="18" charset="0"/>
                          </a:rPr>
                        </m:ctrlPr>
                      </m:fPr>
                      <m:num>
                        <m:sSup>
                          <m:sSupPr>
                            <m:ctrlPr>
                              <a:rPr lang="en-US" sz="1400" i="1" kern="1200">
                                <a:solidFill>
                                  <a:srgbClr val="000000"/>
                                </a:solidFill>
                                <a:effectLst/>
                                <a:latin typeface="Cambria Math" panose="02040503050406030204" pitchFamily="18" charset="0"/>
                                <a:cs typeface="Times New Roman" panose="02020603050405020304" pitchFamily="18" charset="0"/>
                              </a:rPr>
                            </m:ctrlPr>
                          </m:sSupPr>
                          <m:e>
                            <m:r>
                              <a:rPr lang="en-CA" sz="1400" b="0" i="1" kern="1200">
                                <a:solidFill>
                                  <a:srgbClr val="000000"/>
                                </a:solidFill>
                                <a:effectLst/>
                                <a:latin typeface="Cambria Math" panose="02040503050406030204" pitchFamily="18" charset="0"/>
                                <a:cs typeface="Times New Roman" panose="02020603050405020304" pitchFamily="18" charset="0"/>
                              </a:rPr>
                              <m:t>𝑉</m:t>
                            </m:r>
                          </m:e>
                          <m:sup>
                            <m:r>
                              <a:rPr lang="en-CA" sz="1400" b="0" i="1" kern="1200">
                                <a:solidFill>
                                  <a:srgbClr val="000000"/>
                                </a:solidFill>
                                <a:effectLst/>
                                <a:latin typeface="Cambria Math" panose="02040503050406030204" pitchFamily="18" charset="0"/>
                                <a:cs typeface="Times New Roman" panose="02020603050405020304" pitchFamily="18" charset="0"/>
                              </a:rPr>
                              <m:t>+</m:t>
                            </m:r>
                          </m:sup>
                        </m:sSup>
                      </m:num>
                      <m:den>
                        <m:r>
                          <a:rPr lang="en-CA" sz="1400" b="0" i="1" kern="1200">
                            <a:solidFill>
                              <a:srgbClr val="000000"/>
                            </a:solidFill>
                            <a:effectLst/>
                            <a:latin typeface="Cambria Math" panose="02040503050406030204" pitchFamily="18" charset="0"/>
                            <a:cs typeface="Times New Roman" panose="02020603050405020304" pitchFamily="18" charset="0"/>
                          </a:rPr>
                          <m:t>2</m:t>
                        </m:r>
                      </m:den>
                    </m:f>
                  </m:oMath>
                </m:oMathPara>
              </a14:m>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US" sz="1400" i="1">
                          <a:effectLst/>
                          <a:latin typeface="Cambria Math" panose="02040503050406030204" pitchFamily="18" charset="0"/>
                          <a:ea typeface="+mn-ea"/>
                          <a:cs typeface="+mn-cs"/>
                        </a:rPr>
                        <m:t>𝑐</m:t>
                      </m:r>
                    </m:sub>
                  </m:sSub>
                  <m:r>
                    <a:rPr lang="en-US" sz="1400" i="1">
                      <a:effectLst/>
                      <a:latin typeface="Cambria Math" panose="02040503050406030204" pitchFamily="18" charset="0"/>
                      <a:ea typeface="+mn-ea"/>
                      <a:cs typeface="+mn-cs"/>
                    </a:rPr>
                    <m:t>=</m:t>
                  </m:r>
                  <m:f>
                    <m:fPr>
                      <m:ctrlPr>
                        <a:rPr lang="en-CA" sz="1400" i="1">
                          <a:effectLst/>
                          <a:latin typeface="Cambria Math" panose="02040503050406030204" pitchFamily="18" charset="0"/>
                          <a:ea typeface="+mn-ea"/>
                          <a:cs typeface="+mn-cs"/>
                        </a:rPr>
                      </m:ctrlPr>
                    </m:fPr>
                    <m:num>
                      <m:r>
                        <a:rPr lang="en-US" sz="1400" i="1">
                          <a:effectLst/>
                          <a:latin typeface="Cambria Math" panose="02040503050406030204" pitchFamily="18" charset="0"/>
                          <a:ea typeface="+mn-ea"/>
                          <a:cs typeface="+mn-cs"/>
                        </a:rPr>
                        <m:t>1</m:t>
                      </m:r>
                    </m:num>
                    <m:den>
                      <m:r>
                        <a:rPr lang="en-US" sz="1400" i="1">
                          <a:effectLst/>
                          <a:latin typeface="Cambria Math" panose="02040503050406030204" pitchFamily="18" charset="0"/>
                          <a:ea typeface="+mn-ea"/>
                          <a:cs typeface="+mn-cs"/>
                        </a:rPr>
                        <m:t>2</m:t>
                      </m:r>
                      <m:r>
                        <a:rPr lang="en-US" sz="1400" i="1">
                          <a:effectLst/>
                          <a:latin typeface="Cambria Math" panose="02040503050406030204" pitchFamily="18" charset="0"/>
                          <a:ea typeface="+mn-ea"/>
                          <a:cs typeface="+mn-cs"/>
                        </a:rPr>
                        <m:t>𝜋</m:t>
                      </m:r>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𝑓</m:t>
                          </m:r>
                          <m:r>
                            <a:rPr lang="en-US" sz="1400" i="1">
                              <a:effectLst/>
                              <a:latin typeface="Cambria Math" panose="02040503050406030204" pitchFamily="18" charset="0"/>
                              <a:ea typeface="+mn-ea"/>
                              <a:cs typeface="+mn-cs"/>
                            </a:rPr>
                            <m:t>𝐶</m:t>
                          </m:r>
                        </m:e>
                        <m:sub>
                          <m:r>
                            <a:rPr lang="en-US" sz="1400" i="1">
                              <a:effectLst/>
                              <a:latin typeface="Cambria Math" panose="02040503050406030204" pitchFamily="18" charset="0"/>
                              <a:ea typeface="+mn-ea"/>
                              <a:cs typeface="+mn-cs"/>
                            </a:rPr>
                            <m:t>1</m:t>
                          </m:r>
                        </m:sub>
                      </m:sSub>
                    </m:den>
                  </m:f>
                </m:oMath>
              </a14:m>
              <a:endParaRPr lang="en-CA" sz="4000">
                <a:effectLst/>
              </a:endParaRPr>
            </a:p>
            <a:p>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b="0" i="1">
                          <a:effectLst/>
                          <a:latin typeface="Cambria Math" panose="02040503050406030204" pitchFamily="18" charset="0"/>
                          <a:ea typeface="+mn-ea"/>
                          <a:cs typeface="+mn-cs"/>
                        </a:rPr>
                        <m:t>𝐴</m:t>
                      </m:r>
                    </m:e>
                    <m:sub>
                      <m:r>
                        <a:rPr lang="en-CA" sz="1400" b="0" i="1">
                          <a:effectLst/>
                          <a:latin typeface="Cambria Math" panose="02040503050406030204" pitchFamily="18" charset="0"/>
                          <a:ea typeface="+mn-ea"/>
                          <a:cs typeface="+mn-cs"/>
                        </a:rPr>
                        <m:t>𝑣</m:t>
                      </m:r>
                    </m:sub>
                  </m:sSub>
                  <m:r>
                    <a:rPr lang="en-US" sz="1400" i="1">
                      <a:effectLst/>
                      <a:latin typeface="Cambria Math" panose="02040503050406030204" pitchFamily="18" charset="0"/>
                      <a:ea typeface="+mn-ea"/>
                      <a:cs typeface="+mn-cs"/>
                    </a:rPr>
                    <m:t>=</m:t>
                  </m:r>
                </m:oMath>
              </a14:m>
              <a:r>
                <a:rPr lang="en-US" sz="1400">
                  <a:effectLst/>
                  <a:latin typeface="+mn-lt"/>
                  <a:ea typeface="+mn-ea"/>
                  <a:cs typeface="+mn-cs"/>
                </a:rPr>
                <a:t> </a:t>
              </a:r>
              <a14:m>
                <m:oMath xmlns:m="http://schemas.openxmlformats.org/officeDocument/2006/math">
                  <m:r>
                    <a:rPr lang="en-CA" sz="1400" b="0" i="0">
                      <a:effectLst/>
                      <a:latin typeface="Cambria Math" panose="02040503050406030204" pitchFamily="18" charset="0"/>
                      <a:ea typeface="+mn-ea"/>
                      <a:cs typeface="+mn-cs"/>
                    </a:rPr>
                    <m:t>−</m:t>
                  </m:r>
                  <m:d>
                    <m:dPr>
                      <m:ctrlPr>
                        <a:rPr lang="en-CA" sz="1400" i="1">
                          <a:effectLst/>
                          <a:latin typeface="Cambria Math" panose="02040503050406030204" pitchFamily="18" charset="0"/>
                          <a:ea typeface="+mn-ea"/>
                          <a:cs typeface="+mn-cs"/>
                        </a:rPr>
                      </m:ctrlPr>
                    </m:dPr>
                    <m:e>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𝐹</m:t>
                              </m:r>
                            </m:sub>
                          </m:sSub>
                        </m:num>
                        <m:den>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1</m:t>
                              </m:r>
                            </m:sub>
                          </m:sSub>
                        </m:den>
                      </m:f>
                    </m:e>
                  </m:d>
                  <m:r>
                    <a:rPr lang="en-US" sz="1400" i="1">
                      <a:effectLst/>
                      <a:latin typeface="Cambria Math" panose="02040503050406030204" pitchFamily="18" charset="0"/>
                      <a:ea typeface="Cambria Math" panose="02040503050406030204" pitchFamily="18" charset="0"/>
                      <a:cs typeface="+mn-cs"/>
                    </a:rPr>
                    <m:t>×</m:t>
                  </m:r>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b="0" i="1">
                              <a:effectLst/>
                              <a:latin typeface="Cambria Math" panose="02040503050406030204" pitchFamily="18" charset="0"/>
                              <a:ea typeface="+mn-ea"/>
                              <a:cs typeface="+mn-cs"/>
                            </a:rPr>
                            <m:t>1</m:t>
                          </m:r>
                        </m:sub>
                      </m:sSub>
                    </m:num>
                    <m:den>
                      <m:rad>
                        <m:radPr>
                          <m:degHide m:val="on"/>
                          <m:ctrlPr>
                            <a:rPr lang="en-CA" sz="1400" i="1">
                              <a:effectLst/>
                              <a:latin typeface="Cambria Math" panose="02040503050406030204" pitchFamily="18" charset="0"/>
                              <a:ea typeface="+mn-ea"/>
                              <a:cs typeface="+mn-cs"/>
                            </a:rPr>
                          </m:ctrlPr>
                        </m:radPr>
                        <m:deg/>
                        <m:e>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i="1">
                                      <a:effectLst/>
                                      <a:latin typeface="Cambria Math" panose="02040503050406030204" pitchFamily="18" charset="0"/>
                                      <a:ea typeface="+mn-ea"/>
                                      <a:cs typeface="+mn-cs"/>
                                    </a:rPr>
                                    <m:t>1</m:t>
                                  </m:r>
                                </m:sub>
                              </m:sSub>
                            </m:e>
                            <m:sup>
                              <m:r>
                                <a:rPr lang="en-CA" sz="1400" i="1">
                                  <a:effectLst/>
                                  <a:latin typeface="Cambria Math" panose="02040503050406030204" pitchFamily="18" charset="0"/>
                                  <a:ea typeface="+mn-ea"/>
                                  <a:cs typeface="+mn-cs"/>
                                </a:rPr>
                                <m:t>2</m:t>
                              </m:r>
                            </m:sup>
                          </m:sSup>
                          <m:r>
                            <a:rPr lang="en-CA" sz="1400" i="1">
                              <a:effectLst/>
                              <a:latin typeface="Cambria Math" panose="02040503050406030204" pitchFamily="18" charset="0"/>
                              <a:ea typeface="+mn-ea"/>
                              <a:cs typeface="+mn-cs"/>
                            </a:rPr>
                            <m:t>+</m:t>
                          </m:r>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CA" sz="1400" i="1">
                                      <a:effectLst/>
                                      <a:latin typeface="Cambria Math" panose="02040503050406030204" pitchFamily="18" charset="0"/>
                                      <a:ea typeface="+mn-ea"/>
                                      <a:cs typeface="+mn-cs"/>
                                    </a:rPr>
                                    <m:t>𝑐</m:t>
                                  </m:r>
                                </m:sub>
                              </m:sSub>
                            </m:e>
                            <m:sup>
                              <m:r>
                                <a:rPr lang="en-CA" sz="1400" i="1">
                                  <a:effectLst/>
                                  <a:latin typeface="Cambria Math" panose="02040503050406030204" pitchFamily="18" charset="0"/>
                                  <a:ea typeface="+mn-ea"/>
                                  <a:cs typeface="+mn-cs"/>
                                </a:rPr>
                                <m:t>2</m:t>
                              </m:r>
                            </m:sup>
                          </m:sSup>
                        </m:e>
                      </m:rad>
                    </m:den>
                  </m:f>
                  <m:r>
                    <a:rPr lang="en-CA" sz="1400" b="0" i="1">
                      <a:effectLst/>
                      <a:latin typeface="Cambria Math" panose="02040503050406030204" pitchFamily="18" charset="0"/>
                      <a:ea typeface="+mn-ea"/>
                      <a:cs typeface="+mn-cs"/>
                    </a:rPr>
                    <m:t>=−</m:t>
                  </m:r>
                  <m:f>
                    <m:fPr>
                      <m:ctrlPr>
                        <a:rPr lang="en-CA" sz="1100" i="1">
                          <a:effectLst/>
                          <a:latin typeface="Cambria Math" panose="02040503050406030204" pitchFamily="18" charset="0"/>
                          <a:ea typeface="+mn-ea"/>
                          <a:cs typeface="+mn-cs"/>
                        </a:rPr>
                      </m:ctrlPr>
                    </m:fPr>
                    <m:num>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b="0" i="1">
                              <a:effectLst/>
                              <a:latin typeface="Cambria Math" panose="02040503050406030204" pitchFamily="18" charset="0"/>
                              <a:ea typeface="+mn-ea"/>
                              <a:cs typeface="+mn-cs"/>
                            </a:rPr>
                            <m:t>𝐹</m:t>
                          </m:r>
                        </m:sub>
                      </m:sSub>
                    </m:num>
                    <m:den>
                      <m:rad>
                        <m:radPr>
                          <m:degHide m:val="on"/>
                          <m:ctrlPr>
                            <a:rPr lang="en-CA" sz="1100" i="1">
                              <a:effectLst/>
                              <a:latin typeface="Cambria Math" panose="02040503050406030204" pitchFamily="18" charset="0"/>
                              <a:ea typeface="+mn-ea"/>
                              <a:cs typeface="+mn-cs"/>
                            </a:rPr>
                          </m:ctrlPr>
                        </m:radPr>
                        <m:deg/>
                        <m:e>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i="1">
                                      <a:effectLst/>
                                      <a:latin typeface="Cambria Math" panose="02040503050406030204" pitchFamily="18" charset="0"/>
                                      <a:ea typeface="+mn-ea"/>
                                      <a:cs typeface="+mn-cs"/>
                                    </a:rPr>
                                    <m:t>1</m:t>
                                  </m:r>
                                </m:sub>
                              </m:sSub>
                            </m:e>
                            <m:sup>
                              <m:r>
                                <a:rPr lang="en-CA" sz="1100" i="1">
                                  <a:effectLst/>
                                  <a:latin typeface="Cambria Math" panose="02040503050406030204" pitchFamily="18" charset="0"/>
                                  <a:ea typeface="+mn-ea"/>
                                  <a:cs typeface="+mn-cs"/>
                                </a:rPr>
                                <m:t>2</m:t>
                              </m:r>
                            </m:sup>
                          </m:sSup>
                          <m:r>
                            <a:rPr lang="en-CA" sz="1100" i="1">
                              <a:effectLst/>
                              <a:latin typeface="Cambria Math" panose="02040503050406030204" pitchFamily="18" charset="0"/>
                              <a:ea typeface="+mn-ea"/>
                              <a:cs typeface="+mn-cs"/>
                            </a:rPr>
                            <m:t>+</m:t>
                          </m:r>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𝑋</m:t>
                                  </m:r>
                                </m:e>
                                <m:sub>
                                  <m:r>
                                    <a:rPr lang="en-CA" sz="1100" i="1">
                                      <a:effectLst/>
                                      <a:latin typeface="Cambria Math" panose="02040503050406030204" pitchFamily="18" charset="0"/>
                                      <a:ea typeface="+mn-ea"/>
                                      <a:cs typeface="+mn-cs"/>
                                    </a:rPr>
                                    <m:t>𝑐</m:t>
                                  </m:r>
                                </m:sub>
                              </m:sSub>
                            </m:e>
                            <m:sup>
                              <m:r>
                                <a:rPr lang="en-CA" sz="1100" i="1">
                                  <a:effectLst/>
                                  <a:latin typeface="Cambria Math" panose="02040503050406030204" pitchFamily="18" charset="0"/>
                                  <a:ea typeface="+mn-ea"/>
                                  <a:cs typeface="+mn-cs"/>
                                </a:rPr>
                                <m:t>2</m:t>
                              </m:r>
                            </m:sup>
                          </m:sSup>
                        </m:e>
                      </m:rad>
                    </m:den>
                  </m:f>
                </m:oMath>
              </a14:m>
              <a:endParaRPr lang="en-CA" sz="3200">
                <a:effectLst/>
              </a:endParaRPr>
            </a:p>
            <a:p>
              <a:pPr algn="l"/>
              <a14:m>
                <m:oMathPara xmlns:m="http://schemas.openxmlformats.org/officeDocument/2006/math">
                  <m:oMathParaPr>
                    <m:jc m:val="left"/>
                  </m:oMathParaPr>
                  <m:oMath xmlns:m="http://schemas.openxmlformats.org/officeDocument/2006/math">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𝑜𝑢𝑡</m:t>
                        </m:r>
                      </m:sub>
                    </m:sSub>
                    <m:r>
                      <a:rPr lang="en-US" sz="1100" i="1">
                        <a:effectLst/>
                        <a:latin typeface="Cambria Math" panose="02040503050406030204" pitchFamily="18" charset="0"/>
                        <a:ea typeface="+mn-ea"/>
                        <a:cs typeface="+mn-cs"/>
                      </a:rPr>
                      <m:t>=</m:t>
                    </m:r>
                    <m:sSub>
                      <m:sSubPr>
                        <m:ctrlPr>
                          <a:rPr lang="en-CA" sz="1100" b="1" i="1">
                            <a:effectLst/>
                            <a:latin typeface="Cambria Math" panose="02040503050406030204" pitchFamily="18" charset="0"/>
                            <a:ea typeface="+mn-ea"/>
                            <a:cs typeface="+mn-cs"/>
                          </a:rPr>
                        </m:ctrlPr>
                      </m:sSubPr>
                      <m:e>
                        <m:r>
                          <a:rPr lang="en-US" sz="1100" b="1" i="1">
                            <a:effectLst/>
                            <a:latin typeface="Cambria Math" panose="02040503050406030204" pitchFamily="18" charset="0"/>
                            <a:ea typeface="+mn-ea"/>
                            <a:cs typeface="+mn-cs"/>
                          </a:rPr>
                          <m:t>𝑨</m:t>
                        </m:r>
                      </m:e>
                      <m:sub>
                        <m:r>
                          <a:rPr lang="en-US" sz="1100" b="1" i="1">
                            <a:effectLst/>
                            <a:latin typeface="Cambria Math" panose="02040503050406030204" pitchFamily="18" charset="0"/>
                            <a:ea typeface="+mn-ea"/>
                            <a:cs typeface="+mn-cs"/>
                          </a:rPr>
                          <m:t>𝒗</m:t>
                        </m:r>
                      </m:sub>
                    </m:sSub>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𝑖𝑛</m:t>
                        </m:r>
                      </m:sub>
                    </m:sSub>
                    <m:r>
                      <a:rPr lang="en-US" sz="1100" i="1">
                        <a:effectLst/>
                        <a:latin typeface="Cambria Math" panose="02040503050406030204" pitchFamily="18" charset="0"/>
                        <a:ea typeface="+mn-ea"/>
                        <a:cs typeface="+mn-cs"/>
                      </a:rPr>
                      <m:t>+</m:t>
                    </m:r>
                    <m:f>
                      <m:fPr>
                        <m:type m:val="skw"/>
                        <m:ctrlPr>
                          <a:rPr lang="en-US" sz="1100" i="1">
                            <a:effectLst/>
                            <a:latin typeface="Cambria Math" panose="02040503050406030204" pitchFamily="18" charset="0"/>
                            <a:ea typeface="+mn-ea"/>
                            <a:cs typeface="+mn-cs"/>
                          </a:rPr>
                        </m:ctrlPr>
                      </m:fPr>
                      <m:num>
                        <m:sSup>
                          <m:sSupPr>
                            <m:ctrlPr>
                              <a:rPr lang="en-US" sz="1100" i="1">
                                <a:effectLst/>
                                <a:latin typeface="Cambria Math" panose="02040503050406030204" pitchFamily="18" charset="0"/>
                                <a:ea typeface="+mn-ea"/>
                                <a:cs typeface="+mn-cs"/>
                              </a:rPr>
                            </m:ctrlPr>
                          </m:sSupPr>
                          <m:e>
                            <m:r>
                              <a:rPr lang="en-CA" sz="1100" b="0" i="1">
                                <a:effectLst/>
                                <a:latin typeface="Cambria Math" panose="02040503050406030204" pitchFamily="18" charset="0"/>
                                <a:ea typeface="+mn-ea"/>
                                <a:cs typeface="+mn-cs"/>
                              </a:rPr>
                              <m:t>𝑉</m:t>
                            </m:r>
                          </m:e>
                          <m:sup>
                            <m:r>
                              <a:rPr lang="en-CA" sz="1100" b="0" i="1">
                                <a:effectLst/>
                                <a:latin typeface="Cambria Math" panose="02040503050406030204" pitchFamily="18" charset="0"/>
                                <a:ea typeface="+mn-ea"/>
                                <a:cs typeface="+mn-cs"/>
                              </a:rPr>
                              <m:t>+</m:t>
                            </m:r>
                          </m:sup>
                        </m:sSup>
                      </m:num>
                      <m:den>
                        <m:r>
                          <a:rPr lang="en-CA" sz="1100" b="0" i="1">
                            <a:effectLst/>
                            <a:latin typeface="Cambria Math" panose="02040503050406030204" pitchFamily="18" charset="0"/>
                            <a:ea typeface="+mn-ea"/>
                            <a:cs typeface="+mn-cs"/>
                          </a:rPr>
                          <m:t>2</m:t>
                        </m:r>
                      </m:den>
                    </m:f>
                  </m:oMath>
                </m:oMathPara>
              </a14:m>
              <a:endParaRPr lang="en-CA" sz="3200">
                <a:effectLst/>
                <a:latin typeface="Times New Roman" panose="02020603050405020304" pitchFamily="18" charset="0"/>
                <a:ea typeface="Times New Roman" panose="02020603050405020304" pitchFamily="18" charset="0"/>
              </a:endParaRPr>
            </a:p>
          </xdr:txBody>
        </xdr:sp>
      </mc:Choice>
      <mc:Fallback>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291917" y="3222252"/>
              <a:ext cx="3988174" cy="34004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200" b="1" i="0" kern="1200">
                  <a:solidFill>
                    <a:srgbClr val="000000"/>
                  </a:solidFill>
                  <a:effectLst/>
                  <a:latin typeface="Cambria Math" panose="020405030504060302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𝐹</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1 )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1+</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2</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3200">
                <a:effectLst/>
                <a:latin typeface="Times New Roman" panose="02020603050405020304" pitchFamily="18" charset="0"/>
                <a:ea typeface="Times New Roman" panose="02020603050405020304" pitchFamily="18" charset="0"/>
              </a:endParaRPr>
            </a:p>
            <a:p>
              <a:pPr algn="l">
                <a:buNone/>
              </a:pP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𝑜𝑢𝑡=</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𝑖𝑛+</a:t>
              </a:r>
              <a:r>
                <a:rPr lang="en-CA" sz="1400" b="0" i="0" kern="1200">
                  <a:solidFill>
                    <a:srgbClr val="000000"/>
                  </a:solidFill>
                  <a:effectLst/>
                  <a:latin typeface="Cambria Math" panose="02040503050406030204" pitchFamily="18" charset="0"/>
                  <a:cs typeface="Times New Roman" panose="02020603050405020304" pitchFamily="18" charset="0"/>
                </a:rPr>
                <a:t>𝑉</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2</a:t>
              </a:r>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r>
                <a:rPr lang="en-CA" sz="1400" i="0">
                  <a:effectLst/>
                  <a:latin typeface="Cambria Math" panose="02040503050406030204" pitchFamily="18" charset="0"/>
                  <a:ea typeface="+mn-ea"/>
                  <a:cs typeface="+mn-cs"/>
                </a:rPr>
                <a:t>𝑋_</a:t>
              </a:r>
              <a:r>
                <a:rPr lang="en-US" sz="1400" i="0">
                  <a:effectLst/>
                  <a:latin typeface="Cambria Math" panose="02040503050406030204" pitchFamily="18" charset="0"/>
                  <a:ea typeface="+mn-ea"/>
                  <a:cs typeface="+mn-cs"/>
                </a:rPr>
                <a:t>𝑐=1</a:t>
              </a:r>
              <a:r>
                <a:rPr lang="en-CA" sz="1400" i="0">
                  <a:effectLst/>
                  <a:latin typeface="Cambria Math" panose="02040503050406030204" pitchFamily="18" charset="0"/>
                  <a:ea typeface="+mn-ea"/>
                  <a:cs typeface="+mn-cs"/>
                </a:rPr>
                <a:t>/(</a:t>
              </a:r>
              <a:r>
                <a:rPr lang="en-US" sz="1400" i="0">
                  <a:effectLst/>
                  <a:latin typeface="Cambria Math" panose="02040503050406030204" pitchFamily="18" charset="0"/>
                  <a:ea typeface="+mn-ea"/>
                  <a:cs typeface="+mn-cs"/>
                </a:rPr>
                <a:t>2𝜋</a:t>
              </a:r>
              <a:r>
                <a:rPr lang="en-CA" sz="1400" i="0">
                  <a:effectLst/>
                  <a:latin typeface="Cambria Math" panose="02040503050406030204" pitchFamily="18" charset="0"/>
                  <a:ea typeface="+mn-ea"/>
                  <a:cs typeface="+mn-cs"/>
                </a:rPr>
                <a:t>〖𝑓</a:t>
              </a:r>
              <a:r>
                <a:rPr lang="en-US" sz="1400" i="0">
                  <a:effectLst/>
                  <a:latin typeface="Cambria Math" panose="02040503050406030204" pitchFamily="18" charset="0"/>
                  <a:ea typeface="+mn-ea"/>
                  <a:cs typeface="+mn-cs"/>
                </a:rPr>
                <a:t>𝐶</a:t>
              </a:r>
              <a:r>
                <a:rPr lang="en-CA" sz="1400" i="0">
                  <a:effectLst/>
                  <a:latin typeface="Cambria Math" panose="02040503050406030204" pitchFamily="18" charset="0"/>
                  <a:ea typeface="+mn-ea"/>
                  <a:cs typeface="+mn-cs"/>
                </a:rPr>
                <a:t>〗_</a:t>
              </a:r>
              <a:r>
                <a:rPr lang="en-US" sz="1400" i="0">
                  <a:effectLst/>
                  <a:latin typeface="Cambria Math" panose="02040503050406030204" pitchFamily="18" charset="0"/>
                  <a:ea typeface="+mn-ea"/>
                  <a:cs typeface="+mn-cs"/>
                </a:rPr>
                <a:t>1 </a:t>
              </a:r>
              <a:r>
                <a:rPr lang="en-CA" sz="1400" i="0">
                  <a:effectLst/>
                  <a:latin typeface="Cambria Math" panose="02040503050406030204" pitchFamily="18" charset="0"/>
                  <a:ea typeface="+mn-ea"/>
                  <a:cs typeface="+mn-cs"/>
                </a:rPr>
                <a:t>)</a:t>
              </a:r>
              <a:endParaRPr lang="en-CA" sz="4000">
                <a:effectLst/>
              </a:endParaRPr>
            </a:p>
            <a:p>
              <a:r>
                <a:rPr lang="en-CA" sz="1400" b="0" i="0">
                  <a:effectLst/>
                  <a:latin typeface="Cambria Math" panose="02040503050406030204" pitchFamily="18" charset="0"/>
                  <a:ea typeface="+mn-ea"/>
                  <a:cs typeface="+mn-cs"/>
                </a:rPr>
                <a:t>𝐴_𝑣</a:t>
              </a:r>
              <a:r>
                <a:rPr lang="en-US" sz="1400" i="0">
                  <a:effectLst/>
                  <a:latin typeface="Cambria Math" panose="02040503050406030204" pitchFamily="18" charset="0"/>
                  <a:ea typeface="+mn-ea"/>
                  <a:cs typeface="+mn-cs"/>
                </a:rPr>
                <a:t>=</a:t>
              </a:r>
              <a:r>
                <a:rPr lang="en-US" sz="1400">
                  <a:effectLst/>
                  <a:latin typeface="+mn-lt"/>
                  <a:ea typeface="+mn-ea"/>
                  <a:cs typeface="+mn-cs"/>
                </a:rPr>
                <a:t> </a:t>
              </a:r>
              <a:r>
                <a:rPr lang="en-CA" sz="1400" b="0" i="0">
                  <a:effectLst/>
                  <a:latin typeface="Cambria Math" panose="02040503050406030204" pitchFamily="18" charset="0"/>
                  <a:ea typeface="+mn-ea"/>
                  <a:cs typeface="+mn-cs"/>
                </a:rPr>
                <a:t>−</a:t>
              </a:r>
              <a:r>
                <a:rPr lang="en-CA" sz="1400" i="0">
                  <a:effectLst/>
                  <a:latin typeface="Cambria Math" panose="02040503050406030204" pitchFamily="18" charset="0"/>
                  <a:ea typeface="+mn-ea"/>
                  <a:cs typeface="+mn-cs"/>
                </a:rPr>
                <a:t>(</a:t>
              </a:r>
              <a:r>
                <a:rPr lang="en-US" sz="1400" i="0">
                  <a:effectLst/>
                  <a:latin typeface="Cambria Math" panose="02040503050406030204" pitchFamily="18" charset="0"/>
                  <a:ea typeface="+mn-ea"/>
                  <a:cs typeface="+mn-cs"/>
                </a:rPr>
                <a:t>𝑅</a:t>
              </a:r>
              <a:r>
                <a:rPr lang="en-CA" sz="1400" i="0">
                  <a:effectLst/>
                  <a:latin typeface="Cambria Math" panose="02040503050406030204" pitchFamily="18" charset="0"/>
                  <a:ea typeface="+mn-ea"/>
                  <a:cs typeface="+mn-cs"/>
                </a:rPr>
                <a:t>_</a:t>
              </a:r>
              <a:r>
                <a:rPr lang="en-US" sz="1400" i="0">
                  <a:effectLst/>
                  <a:latin typeface="Cambria Math" panose="02040503050406030204" pitchFamily="18" charset="0"/>
                  <a:ea typeface="+mn-ea"/>
                  <a:cs typeface="+mn-cs"/>
                </a:rPr>
                <a:t>𝐹</a:t>
              </a:r>
              <a:r>
                <a:rPr lang="en-CA" sz="1400" i="0">
                  <a:effectLst/>
                  <a:latin typeface="Cambria Math" panose="02040503050406030204" pitchFamily="18" charset="0"/>
                  <a:ea typeface="+mn-ea"/>
                  <a:cs typeface="+mn-cs"/>
                </a:rPr>
                <a:t>/</a:t>
              </a:r>
              <a:r>
                <a:rPr lang="en-US" sz="1400" i="0">
                  <a:effectLst/>
                  <a:latin typeface="Cambria Math" panose="02040503050406030204" pitchFamily="18" charset="0"/>
                  <a:ea typeface="+mn-ea"/>
                  <a:cs typeface="+mn-cs"/>
                </a:rPr>
                <a:t>𝑅</a:t>
              </a:r>
              <a:r>
                <a:rPr lang="en-CA" sz="1400" i="0">
                  <a:effectLst/>
                  <a:latin typeface="Cambria Math" panose="02040503050406030204" pitchFamily="18" charset="0"/>
                  <a:ea typeface="+mn-ea"/>
                  <a:cs typeface="+mn-cs"/>
                </a:rPr>
                <a:t>_</a:t>
              </a:r>
              <a:r>
                <a:rPr lang="en-US" sz="1400" i="0">
                  <a:effectLst/>
                  <a:latin typeface="Cambria Math" panose="02040503050406030204" pitchFamily="18" charset="0"/>
                  <a:ea typeface="+mn-ea"/>
                  <a:cs typeface="+mn-cs"/>
                </a:rPr>
                <a:t>1 )</a:t>
              </a:r>
              <a:r>
                <a:rPr lang="en-US" sz="1400" i="0">
                  <a:effectLst/>
                  <a:latin typeface="Cambria Math" panose="02040503050406030204" pitchFamily="18" charset="0"/>
                  <a:ea typeface="Cambria Math" panose="02040503050406030204" pitchFamily="18" charset="0"/>
                  <a:cs typeface="+mn-cs"/>
                </a:rPr>
                <a:t>×</a:t>
              </a:r>
              <a:r>
                <a:rPr lang="en-CA" sz="1400" i="0">
                  <a:effectLst/>
                  <a:latin typeface="Cambria Math" panose="02040503050406030204" pitchFamily="18" charset="0"/>
                  <a:ea typeface="+mn-ea"/>
                  <a:cs typeface="+mn-cs"/>
                </a:rPr>
                <a:t>𝑅_</a:t>
              </a:r>
              <a:r>
                <a:rPr lang="en-CA" sz="1400" b="0" i="0">
                  <a:effectLst/>
                  <a:latin typeface="Cambria Math" panose="02040503050406030204" pitchFamily="18" charset="0"/>
                  <a:ea typeface="+mn-ea"/>
                  <a:cs typeface="+mn-cs"/>
                </a:rPr>
                <a:t>1/√(〖</a:t>
              </a:r>
              <a:r>
                <a:rPr lang="en-CA" sz="1400" i="0">
                  <a:effectLst/>
                  <a:latin typeface="Cambria Math" panose="02040503050406030204" pitchFamily="18" charset="0"/>
                  <a:ea typeface="+mn-ea"/>
                  <a:cs typeface="+mn-cs"/>
                </a:rPr>
                <a:t>𝑅_1〗^2+〖𝑋_𝑐〗^2 )</a:t>
              </a:r>
              <a:r>
                <a:rPr lang="en-CA" sz="1400" b="0" i="0">
                  <a:effectLst/>
                  <a:latin typeface="Cambria Math" panose="02040503050406030204" pitchFamily="18" charset="0"/>
                  <a:ea typeface="+mn-ea"/>
                  <a:cs typeface="+mn-cs"/>
                </a:rPr>
                <a:t>=−</a:t>
              </a:r>
              <a:r>
                <a:rPr lang="en-CA" sz="1100" i="0">
                  <a:effectLst/>
                  <a:latin typeface="Cambria Math" panose="02040503050406030204" pitchFamily="18" charset="0"/>
                  <a:ea typeface="+mn-ea"/>
                  <a:cs typeface="+mn-cs"/>
                </a:rPr>
                <a:t>𝑅_</a:t>
              </a:r>
              <a:r>
                <a:rPr lang="en-CA" sz="1100" b="0" i="0">
                  <a:effectLst/>
                  <a:latin typeface="Cambria Math" panose="02040503050406030204" pitchFamily="18" charset="0"/>
                  <a:ea typeface="+mn-ea"/>
                  <a:cs typeface="+mn-cs"/>
                </a:rPr>
                <a:t>𝐹/√(〖</a:t>
              </a:r>
              <a:r>
                <a:rPr lang="en-CA" sz="1100" i="0">
                  <a:effectLst/>
                  <a:latin typeface="Cambria Math" panose="02040503050406030204" pitchFamily="18" charset="0"/>
                  <a:ea typeface="+mn-ea"/>
                  <a:cs typeface="+mn-cs"/>
                </a:rPr>
                <a:t>𝑅_1〗^2+〖𝑋_𝑐〗^2 )</a:t>
              </a:r>
              <a:endParaRPr lang="en-CA" sz="3200">
                <a:effectLst/>
              </a:endParaRPr>
            </a:p>
            <a:p>
              <a:pPr algn="l"/>
              <a:r>
                <a:rPr lang="en-US" sz="1100" i="0">
                  <a:effectLst/>
                  <a:latin typeface="Cambria Math" panose="02040503050406030204" pitchFamily="18" charset="0"/>
                  <a:ea typeface="+mn-ea"/>
                  <a:cs typeface="+mn-cs"/>
                </a:rPr>
                <a:t>𝑉</a:t>
              </a:r>
              <a:r>
                <a:rPr lang="en-CA" sz="1100" i="0">
                  <a:effectLst/>
                  <a:latin typeface="Cambria Math" panose="02040503050406030204" pitchFamily="18" charset="0"/>
                  <a:ea typeface="+mn-ea"/>
                  <a:cs typeface="+mn-cs"/>
                </a:rPr>
                <a:t>_</a:t>
              </a:r>
              <a:r>
                <a:rPr lang="en-US" sz="1100" i="0">
                  <a:effectLst/>
                  <a:latin typeface="Cambria Math" panose="02040503050406030204" pitchFamily="18" charset="0"/>
                  <a:ea typeface="+mn-ea"/>
                  <a:cs typeface="+mn-cs"/>
                </a:rPr>
                <a:t>𝑜𝑢𝑡=</a:t>
              </a:r>
              <a:r>
                <a:rPr lang="en-US" sz="1100" b="1" i="0">
                  <a:effectLst/>
                  <a:latin typeface="Cambria Math" panose="02040503050406030204" pitchFamily="18" charset="0"/>
                  <a:ea typeface="+mn-ea"/>
                  <a:cs typeface="+mn-cs"/>
                </a:rPr>
                <a:t>𝑨</a:t>
              </a:r>
              <a:r>
                <a:rPr lang="en-CA" sz="1100" b="1" i="0">
                  <a:effectLst/>
                  <a:latin typeface="Cambria Math" panose="02040503050406030204" pitchFamily="18" charset="0"/>
                  <a:ea typeface="+mn-ea"/>
                  <a:cs typeface="+mn-cs"/>
                </a:rPr>
                <a:t>_</a:t>
              </a:r>
              <a:r>
                <a:rPr lang="en-US" sz="1100" b="1" i="0">
                  <a:effectLst/>
                  <a:latin typeface="Cambria Math" panose="02040503050406030204" pitchFamily="18" charset="0"/>
                  <a:ea typeface="+mn-ea"/>
                  <a:cs typeface="+mn-cs"/>
                </a:rPr>
                <a:t>𝒗</a:t>
              </a:r>
              <a:r>
                <a:rPr lang="en-CA" sz="1100" b="1" i="0">
                  <a:effectLst/>
                  <a:latin typeface="Cambria Math" panose="02040503050406030204" pitchFamily="18" charset="0"/>
                  <a:ea typeface="+mn-ea"/>
                  <a:cs typeface="+mn-cs"/>
                </a:rPr>
                <a:t> </a:t>
              </a:r>
              <a:r>
                <a:rPr lang="en-US" sz="1100" i="0">
                  <a:effectLst/>
                  <a:latin typeface="Cambria Math" panose="02040503050406030204" pitchFamily="18" charset="0"/>
                  <a:ea typeface="+mn-ea"/>
                  <a:cs typeface="+mn-cs"/>
                </a:rPr>
                <a:t>𝑉</a:t>
              </a:r>
              <a:r>
                <a:rPr lang="en-CA" sz="1100" i="0">
                  <a:effectLst/>
                  <a:latin typeface="Cambria Math" panose="02040503050406030204" pitchFamily="18" charset="0"/>
                  <a:ea typeface="+mn-ea"/>
                  <a:cs typeface="+mn-cs"/>
                </a:rPr>
                <a:t>_</a:t>
              </a:r>
              <a:r>
                <a:rPr lang="en-US" sz="1100" i="0">
                  <a:effectLst/>
                  <a:latin typeface="Cambria Math" panose="02040503050406030204" pitchFamily="18" charset="0"/>
                  <a:ea typeface="+mn-ea"/>
                  <a:cs typeface="+mn-cs"/>
                </a:rPr>
                <a:t>𝑖𝑛+</a:t>
              </a:r>
              <a:r>
                <a:rPr lang="en-CA" sz="1100" b="0" i="0">
                  <a:effectLst/>
                  <a:latin typeface="Cambria Math" panose="02040503050406030204" pitchFamily="18" charset="0"/>
                  <a:ea typeface="+mn-ea"/>
                  <a:cs typeface="+mn-cs"/>
                </a:rPr>
                <a:t>𝑉</a:t>
              </a:r>
              <a:r>
                <a:rPr lang="en-US" sz="1100" b="0" i="0">
                  <a:effectLst/>
                  <a:latin typeface="Cambria Math" panose="02040503050406030204" pitchFamily="18" charset="0"/>
                  <a:ea typeface="+mn-ea"/>
                  <a:cs typeface="+mn-cs"/>
                </a:rPr>
                <a:t>^</a:t>
              </a:r>
              <a:r>
                <a:rPr lang="en-CA" sz="1100" b="0" i="0">
                  <a:effectLst/>
                  <a:latin typeface="Cambria Math" panose="02040503050406030204" pitchFamily="18" charset="0"/>
                  <a:ea typeface="+mn-ea"/>
                  <a:cs typeface="+mn-cs"/>
                </a:rPr>
                <a:t>+</a:t>
              </a:r>
              <a:r>
                <a:rPr lang="en-US" sz="1100" b="0" i="0">
                  <a:effectLst/>
                  <a:latin typeface="Cambria Math" panose="02040503050406030204" pitchFamily="18" charset="0"/>
                  <a:ea typeface="+mn-ea"/>
                  <a:cs typeface="+mn-cs"/>
                </a:rPr>
                <a:t>⁄</a:t>
              </a:r>
              <a:r>
                <a:rPr lang="en-CA" sz="1100" b="0" i="0">
                  <a:effectLst/>
                  <a:latin typeface="Cambria Math" panose="02040503050406030204" pitchFamily="18" charset="0"/>
                  <a:ea typeface="+mn-ea"/>
                  <a:cs typeface="+mn-cs"/>
                </a:rPr>
                <a:t>2</a:t>
              </a:r>
              <a:endParaRPr lang="en-CA" sz="3200">
                <a:effectLst/>
                <a:latin typeface="Times New Roman" panose="02020603050405020304" pitchFamily="18" charset="0"/>
                <a:ea typeface="Times New Roman" panose="02020603050405020304" pitchFamily="18" charset="0"/>
              </a:endParaRPr>
            </a:p>
          </xdr:txBody>
        </xdr:sp>
      </mc:Fallback>
    </mc:AlternateContent>
    <xdr:clientData/>
  </xdr:twoCellAnchor>
  <xdr:twoCellAnchor editAs="oneCell">
    <xdr:from>
      <xdr:col>15</xdr:col>
      <xdr:colOff>0</xdr:colOff>
      <xdr:row>37</xdr:row>
      <xdr:rowOff>0</xdr:rowOff>
    </xdr:from>
    <xdr:to>
      <xdr:col>23</xdr:col>
      <xdr:colOff>382766</xdr:colOff>
      <xdr:row>54</xdr:row>
      <xdr:rowOff>134470</xdr:rowOff>
    </xdr:to>
    <xdr:pic>
      <xdr:nvPicPr>
        <xdr:cNvPr id="4" name="Picture 3">
          <a:extLst>
            <a:ext uri="{FF2B5EF4-FFF2-40B4-BE49-F238E27FC236}">
              <a16:creationId xmlns:a16="http://schemas.microsoft.com/office/drawing/2014/main" id="{D8F9EF2F-D5D5-40C9-A929-3E3D6DDE33F4}"/>
            </a:ext>
          </a:extLst>
        </xdr:cNvPr>
        <xdr:cNvPicPr>
          <a:picLocks noChangeAspect="1"/>
        </xdr:cNvPicPr>
      </xdr:nvPicPr>
      <xdr:blipFill>
        <a:blip xmlns:r="http://schemas.openxmlformats.org/officeDocument/2006/relationships" r:embed="rId4"/>
        <a:stretch>
          <a:fillRect/>
        </a:stretch>
      </xdr:blipFill>
      <xdr:spPr>
        <a:xfrm>
          <a:off x="9592235" y="7586382"/>
          <a:ext cx="5223707" cy="3384176"/>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1</xdr:colOff>
      <xdr:row>12</xdr:row>
      <xdr:rowOff>39688</xdr:rowOff>
    </xdr:from>
    <xdr:to>
      <xdr:col>17</xdr:col>
      <xdr:colOff>317501</xdr:colOff>
      <xdr:row>16</xdr:row>
      <xdr:rowOff>100272</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484186</xdr:colOff>
      <xdr:row>0</xdr:row>
      <xdr:rowOff>101203</xdr:rowOff>
    </xdr:from>
    <xdr:to>
      <xdr:col>16</xdr:col>
      <xdr:colOff>318115</xdr:colOff>
      <xdr:row>11</xdr:row>
      <xdr:rowOff>112862</xdr:rowOff>
    </xdr:to>
    <xdr:pic>
      <xdr:nvPicPr>
        <xdr:cNvPr id="6" name="Picture 5">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8048624" y="101203"/>
          <a:ext cx="2342179" cy="2488159"/>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D42F050-D946-42B6-AF7C-8887808FA0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577710</xdr:colOff>
      <xdr:row>1</xdr:row>
      <xdr:rowOff>138907</xdr:rowOff>
    </xdr:from>
    <xdr:to>
      <xdr:col>20</xdr:col>
      <xdr:colOff>557135</xdr:colOff>
      <xdr:row>19</xdr:row>
      <xdr:rowOff>59532</xdr:rowOff>
    </xdr:to>
    <xdr:pic>
      <xdr:nvPicPr>
        <xdr:cNvPr id="9" name="Picture 8">
          <a:extLst>
            <a:ext uri="{FF2B5EF4-FFF2-40B4-BE49-F238E27FC236}">
              <a16:creationId xmlns:a16="http://schemas.microsoft.com/office/drawing/2014/main" id="{47ACD973-338E-A501-66BD-91457EEB5DC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900054" y="734220"/>
          <a:ext cx="4821300" cy="3432968"/>
        </a:xfrm>
        <a:prstGeom prst="rect">
          <a:avLst/>
        </a:prstGeom>
      </xdr:spPr>
    </xdr:pic>
    <xdr:clientData/>
  </xdr:twoCellAnchor>
  <xdr:twoCellAnchor>
    <xdr:from>
      <xdr:col>5</xdr:col>
      <xdr:colOff>273843</xdr:colOff>
      <xdr:row>50</xdr:row>
      <xdr:rowOff>86913</xdr:rowOff>
    </xdr:from>
    <xdr:to>
      <xdr:col>12</xdr:col>
      <xdr:colOff>480218</xdr:colOff>
      <xdr:row>68</xdr:row>
      <xdr:rowOff>119061</xdr:rowOff>
    </xdr:to>
    <xdr:graphicFrame macro="">
      <xdr:nvGraphicFramePr>
        <xdr:cNvPr id="12" name="Chart 11">
          <a:extLst>
            <a:ext uri="{FF2B5EF4-FFF2-40B4-BE49-F238E27FC236}">
              <a16:creationId xmlns:a16="http://schemas.microsoft.com/office/drawing/2014/main" id="{2E010168-610E-FAEB-470A-B244B3532C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9.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1B59F4DA-8458-4A87-B20E-384216CE03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m:rPr>
                                  <m:sty m:val="p"/>
                                </m:rPr>
                                <a:rPr lang="en-CA" sz="1800" b="0" i="0">
                                  <a:latin typeface="Cambria Math" panose="02040503050406030204" pitchFamily="18" charset="0"/>
                                </a:rPr>
                                <m:t>b</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a:t>
              </a:r>
              <a:r>
                <a:rPr lang="en-CA" sz="1800" b="0" i="0">
                  <a:latin typeface="Cambria Math" panose="02040503050406030204" pitchFamily="18" charset="0"/>
                </a:rPr>
                <a:t>b</a:t>
              </a:r>
              <a:r>
                <a:rPr lang="en-US" sz="1800" b="0" i="0">
                  <a:latin typeface="Cambria Math" panose="02040503050406030204" pitchFamily="18" charset="0"/>
                </a:rPr>
                <a:t> )</a:t>
              </a:r>
              <a:r>
                <a:rPr lang="en-US" sz="1800"/>
                <a:t>V</a:t>
              </a:r>
              <a:r>
                <a:rPr lang="en-US" sz="1800" baseline="-25000"/>
                <a:t>in</a:t>
              </a:r>
              <a:endParaRPr lang="en-US" sz="1800" baseline="30000"/>
            </a:p>
          </xdr:txBody>
        </xdr:sp>
      </mc:Fallback>
    </mc:AlternateContent>
    <xdr:clientData/>
  </xdr:twoCellAnchor>
  <xdr:twoCellAnchor editAs="oneCell">
    <xdr:from>
      <xdr:col>13</xdr:col>
      <xdr:colOff>527209</xdr:colOff>
      <xdr:row>0</xdr:row>
      <xdr:rowOff>119062</xdr:rowOff>
    </xdr:from>
    <xdr:to>
      <xdr:col>21</xdr:col>
      <xdr:colOff>19843</xdr:colOff>
      <xdr:row>19</xdr:row>
      <xdr:rowOff>146906</xdr:rowOff>
    </xdr:to>
    <xdr:pic>
      <xdr:nvPicPr>
        <xdr:cNvPr id="6" name="Picture 5">
          <a:extLst>
            <a:ext uri="{FF2B5EF4-FFF2-40B4-BE49-F238E27FC236}">
              <a16:creationId xmlns:a16="http://schemas.microsoft.com/office/drawing/2014/main" id="{BE35C2A0-6438-0835-0F81-C10F04B59554}"/>
            </a:ext>
          </a:extLst>
        </xdr:cNvPr>
        <xdr:cNvPicPr>
          <a:picLocks noChangeAspect="1"/>
        </xdr:cNvPicPr>
      </xdr:nvPicPr>
      <xdr:blipFill>
        <a:blip xmlns:r="http://schemas.openxmlformats.org/officeDocument/2006/relationships" r:embed="rId2"/>
        <a:stretch>
          <a:fillRect/>
        </a:stretch>
      </xdr:blipFill>
      <xdr:spPr>
        <a:xfrm>
          <a:off x="8454787" y="119062"/>
          <a:ext cx="4334509" cy="4135500"/>
        </a:xfrm>
        <a:prstGeom prst="rect">
          <a:avLst/>
        </a:prstGeom>
      </xdr:spPr>
    </xdr:pic>
    <xdr:clientData/>
  </xdr:twoCellAnchor>
  <xdr:twoCellAnchor>
    <xdr:from>
      <xdr:col>14</xdr:col>
      <xdr:colOff>119063</xdr:colOff>
      <xdr:row>25</xdr:row>
      <xdr:rowOff>9922</xdr:rowOff>
    </xdr:from>
    <xdr:to>
      <xdr:col>20</xdr:col>
      <xdr:colOff>396875</xdr:colOff>
      <xdr:row>34</xdr:row>
      <xdr:rowOff>39687</xdr:rowOff>
    </xdr:to>
    <mc:AlternateContent xmlns:mc="http://schemas.openxmlformats.org/markup-compatibility/2006" xmlns:a14="http://schemas.microsoft.com/office/drawing/2010/main">
      <mc:Choice Requires="a14">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1">
                                    <a:latin typeface="Cambria Math" panose="02040503050406030204" pitchFamily="18" charset="0"/>
                                  </a:rPr>
                                  <m:t>6</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5</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e>
                    </m:d>
                  </m:oMath>
                </m:oMathPara>
              </a14:m>
              <a:endParaRPr lang="en-US" sz="1400"/>
            </a:p>
            <a:p>
              <a:endParaRPr lang="en-US" sz="1200"/>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a:t>
              </a:r>
              <a:r>
                <a:rPr lang="en-CA" sz="1400" b="0" i="0">
                  <a:latin typeface="Cambria Math" panose="02040503050406030204" pitchFamily="18" charset="0"/>
                </a:rPr>
                <a:t>6</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5</a:t>
              </a:r>
              <a:r>
                <a:rPr lang="en-US" sz="1400" b="0" i="0">
                  <a:latin typeface="Cambria Math" panose="02040503050406030204" pitchFamily="18" charset="0"/>
                </a:rPr>
                <a:t> )</a:t>
              </a:r>
              <a:r>
                <a:rPr lang="en-US" sz="1400" i="0">
                  <a:latin typeface="Cambria Math" panose="02040503050406030204" pitchFamily="18" charset="0"/>
                </a:rPr>
                <a:t>[𝑉_1 (𝑅_</a:t>
              </a:r>
              <a:r>
                <a:rPr lang="en-CA" sz="1400" b="0" i="0">
                  <a:latin typeface="Cambria Math" panose="02040503050406030204" pitchFamily="18" charset="0"/>
                </a:rPr>
                <a:t>4</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r>
                <a:rPr lang="en-US" sz="1400" i="0">
                  <a:latin typeface="Cambria Math" panose="02040503050406030204" pitchFamily="18" charset="0"/>
                </a:rPr>
                <a:t>+𝑉_2 (𝑅_</a:t>
              </a:r>
              <a:r>
                <a:rPr lang="en-CA" sz="1400" b="0" i="0">
                  <a:latin typeface="Cambria Math" panose="02040503050406030204" pitchFamily="18" charset="0"/>
                </a:rPr>
                <a:t>3</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endParaRPr lang="en-US" sz="1400"/>
            </a:p>
            <a:p>
              <a:endParaRPr lang="en-US" sz="1200"/>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29</xdr:col>
      <xdr:colOff>130749</xdr:colOff>
      <xdr:row>2</xdr:row>
      <xdr:rowOff>128985</xdr:rowOff>
    </xdr:from>
    <xdr:to>
      <xdr:col>40</xdr:col>
      <xdr:colOff>546661</xdr:colOff>
      <xdr:row>53</xdr:row>
      <xdr:rowOff>128033</xdr:rowOff>
    </xdr:to>
    <xdr:pic>
      <xdr:nvPicPr>
        <xdr:cNvPr id="8" name="Picture 7">
          <a:extLst>
            <a:ext uri="{FF2B5EF4-FFF2-40B4-BE49-F238E27FC236}">
              <a16:creationId xmlns:a16="http://schemas.microsoft.com/office/drawing/2014/main" id="{072C443E-8AE6-492B-B056-F2A4DC49BDF2}"/>
            </a:ext>
          </a:extLst>
        </xdr:cNvPr>
        <xdr:cNvPicPr>
          <a:picLocks noChangeAspect="1"/>
        </xdr:cNvPicPr>
      </xdr:nvPicPr>
      <xdr:blipFill>
        <a:blip xmlns:r="http://schemas.openxmlformats.org/officeDocument/2006/relationships" r:embed="rId3"/>
        <a:stretch>
          <a:fillRect/>
        </a:stretch>
      </xdr:blipFill>
      <xdr:spPr>
        <a:xfrm>
          <a:off x="17742077" y="922735"/>
          <a:ext cx="7073490" cy="9722486"/>
        </a:xfrm>
        <a:prstGeom prst="rect">
          <a:avLst/>
        </a:prstGeom>
      </xdr:spPr>
    </xdr:pic>
    <xdr:clientData/>
  </xdr:twoCellAnchor>
  <xdr:twoCellAnchor>
    <xdr:from>
      <xdr:col>22</xdr:col>
      <xdr:colOff>184547</xdr:colOff>
      <xdr:row>33</xdr:row>
      <xdr:rowOff>67071</xdr:rowOff>
    </xdr:from>
    <xdr:to>
      <xdr:col>29</xdr:col>
      <xdr:colOff>519907</xdr:colOff>
      <xdr:row>47</xdr:row>
      <xdr:rowOff>171052</xdr:rowOff>
    </xdr:to>
    <xdr:graphicFrame macro="">
      <xdr:nvGraphicFramePr>
        <xdr:cNvPr id="9" name="Chart 8">
          <a:extLst>
            <a:ext uri="{FF2B5EF4-FFF2-40B4-BE49-F238E27FC236}">
              <a16:creationId xmlns:a16="http://schemas.microsoft.com/office/drawing/2014/main" id="{96F71B29-BAF5-B18A-E681-F3C80E5DC5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579437</xdr:colOff>
      <xdr:row>11</xdr:row>
      <xdr:rowOff>37306</xdr:rowOff>
    </xdr:from>
    <xdr:to>
      <xdr:col>12</xdr:col>
      <xdr:colOff>432593</xdr:colOff>
      <xdr:row>25</xdr:row>
      <xdr:rowOff>141289</xdr:rowOff>
    </xdr:to>
    <xdr:graphicFrame macro="">
      <xdr:nvGraphicFramePr>
        <xdr:cNvPr id="2" name="Chart 1">
          <a:extLst>
            <a:ext uri="{FF2B5EF4-FFF2-40B4-BE49-F238E27FC236}">
              <a16:creationId xmlns:a16="http://schemas.microsoft.com/office/drawing/2014/main" id="{00000000-0008-0000-0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619126</xdr:colOff>
      <xdr:row>0</xdr:row>
      <xdr:rowOff>468313</xdr:rowOff>
    </xdr:from>
    <xdr:to>
      <xdr:col>17</xdr:col>
      <xdr:colOff>268288</xdr:colOff>
      <xdr:row>8</xdr:row>
      <xdr:rowOff>15875</xdr:rowOff>
    </xdr:to>
    <xdr:pic>
      <xdr:nvPicPr>
        <xdr:cNvPr id="6" name="Picture 5">
          <a:extLst>
            <a:ext uri="{FF2B5EF4-FFF2-40B4-BE49-F238E27FC236}">
              <a16:creationId xmlns:a16="http://schemas.microsoft.com/office/drawing/2014/main" id="{08E44EF3-AE13-4761-9CA7-D17BA0A771BE}"/>
            </a:ext>
          </a:extLst>
        </xdr:cNvPr>
        <xdr:cNvPicPr>
          <a:picLocks noChangeAspect="1"/>
        </xdr:cNvPicPr>
      </xdr:nvPicPr>
      <xdr:blipFill rotWithShape="1">
        <a:blip xmlns:r="http://schemas.openxmlformats.org/officeDocument/2006/relationships" r:embed="rId2"/>
        <a:srcRect b="8430"/>
        <a:stretch/>
      </xdr:blipFill>
      <xdr:spPr>
        <a:xfrm>
          <a:off x="8334376" y="468313"/>
          <a:ext cx="2784475" cy="1508125"/>
        </a:xfrm>
        <a:prstGeom prst="rect">
          <a:avLst/>
        </a:prstGeom>
      </xdr:spPr>
    </xdr:pic>
    <xdr:clientData/>
  </xdr:twoCellAnchor>
  <xdr:twoCellAnchor>
    <xdr:from>
      <xdr:col>13</xdr:col>
      <xdr:colOff>44823</xdr:colOff>
      <xdr:row>9</xdr:row>
      <xdr:rowOff>11205</xdr:rowOff>
    </xdr:from>
    <xdr:to>
      <xdr:col>17</xdr:col>
      <xdr:colOff>156882</xdr:colOff>
      <xdr:row>13</xdr:row>
      <xdr:rowOff>186962</xdr:rowOff>
    </xdr:to>
    <xdr:sp macro="" textlink="">
      <xdr:nvSpPr>
        <xdr:cNvPr id="3" name="TextBox 6">
          <a:extLst>
            <a:ext uri="{FF2B5EF4-FFF2-40B4-BE49-F238E27FC236}">
              <a16:creationId xmlns:a16="http://schemas.microsoft.com/office/drawing/2014/main" id="{E2074E0A-E32A-7AD4-B790-D631D992A0EC}"/>
            </a:ext>
          </a:extLst>
        </xdr:cNvPr>
        <xdr:cNvSpPr txBox="1"/>
      </xdr:nvSpPr>
      <xdr:spPr>
        <a:xfrm>
          <a:off x="7855323" y="2252381"/>
          <a:ext cx="2532530" cy="937757"/>
        </a:xfrm>
        <a:prstGeom prst="rect">
          <a:avLst/>
        </a:prstGeom>
        <a:solidFill>
          <a:schemeClr val="accent4">
            <a:lumMod val="20000"/>
            <a:lumOff val="80000"/>
          </a:schemeClr>
        </a:solidFill>
        <a:ln>
          <a:solidFill>
            <a:schemeClr val="accent1"/>
          </a:solidFill>
        </a:ln>
      </xdr:spPr>
      <xdr:txBody>
        <a:bodyPr wrap="square" rtlCol="0">
          <a:spAutoFit/>
        </a:bodyPr>
        <a:lstStyle/>
        <a:p>
          <a:pPr algn="ctr">
            <a:lnSpc>
              <a:spcPct val="100000"/>
            </a:lnSpc>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Comparator:</a:t>
          </a:r>
          <a:endParaRPr lang="en-CA" sz="2000">
            <a:effectLst/>
            <a:latin typeface="Times New Roman" panose="02020603050405020304" pitchFamily="18" charset="0"/>
            <a:ea typeface="Times New Roman" panose="02020603050405020304" pitchFamily="18" charset="0"/>
          </a:endParaRPr>
        </a:p>
        <a:p>
          <a:pPr algn="ctr">
            <a:lnSpc>
              <a:spcPct val="100000"/>
            </a:lnSpc>
            <a:buNone/>
          </a:pP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If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&lt;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sym typeface="Wingdings" panose="05000000000000000000" pitchFamily="2" charset="2"/>
            </a:rPr>
            <a: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out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 V</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2000">
            <a:effectLst/>
            <a:latin typeface="Times New Roman" panose="02020603050405020304" pitchFamily="18" charset="0"/>
            <a:ea typeface="Times New Roman" panose="02020603050405020304" pitchFamily="18" charset="0"/>
          </a:endParaRPr>
        </a:p>
        <a:p>
          <a:pPr algn="ctr">
            <a:lnSpc>
              <a:spcPct val="100000"/>
            </a:lnSpc>
          </a:pP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If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&gt;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in(+)</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sym typeface="Wingdings" panose="05000000000000000000" pitchFamily="2" charset="2"/>
            </a:rPr>
            <a:t></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kern="1200" baseline="-25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out</a:t>
          </a:r>
          <a:r>
            <a:rPr lang="en-US" sz="1800" kern="1200" baseline="300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r>
            <a:rPr lang="en-US" sz="18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V</a:t>
          </a:r>
          <a:r>
            <a:rPr lang="en-US" sz="1800" baseline="30000">
              <a:effectLst/>
              <a:latin typeface="+mn-lt"/>
              <a:ea typeface="+mn-ea"/>
              <a:cs typeface="+mn-cs"/>
            </a:rPr>
            <a:t>–</a:t>
          </a:r>
          <a:endParaRPr lang="en-CA" sz="1800" baseline="30000">
            <a:effectLst/>
            <a:latin typeface="Times New Roman" panose="02020603050405020304" pitchFamily="18" charset="0"/>
            <a:ea typeface="Times New Roman" panose="02020603050405020304" pitchFamily="18" charset="0"/>
          </a:endParaRP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6</xdr:col>
      <xdr:colOff>551658</xdr:colOff>
      <xdr:row>17</xdr:row>
      <xdr:rowOff>96837</xdr:rowOff>
    </xdr:from>
    <xdr:to>
      <xdr:col>13</xdr:col>
      <xdr:colOff>281784</xdr:colOff>
      <xdr:row>32</xdr:row>
      <xdr:rowOff>22226</xdr:rowOff>
    </xdr:to>
    <xdr:graphicFrame macro="">
      <xdr:nvGraphicFramePr>
        <xdr:cNvPr id="2" name="Chart 1">
          <a:extLst>
            <a:ext uri="{FF2B5EF4-FFF2-40B4-BE49-F238E27FC236}">
              <a16:creationId xmlns:a16="http://schemas.microsoft.com/office/drawing/2014/main" id="{2C5B3432-6D50-4AC7-89A4-6C811F38D1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46</xdr:row>
      <xdr:rowOff>136524</xdr:rowOff>
    </xdr:from>
    <xdr:to>
      <xdr:col>14</xdr:col>
      <xdr:colOff>460375</xdr:colOff>
      <xdr:row>61</xdr:row>
      <xdr:rowOff>51989</xdr:rowOff>
    </xdr:to>
    <xdr:graphicFrame macro="">
      <xdr:nvGraphicFramePr>
        <xdr:cNvPr id="3" name="Chart 2">
          <a:extLst>
            <a:ext uri="{FF2B5EF4-FFF2-40B4-BE49-F238E27FC236}">
              <a16:creationId xmlns:a16="http://schemas.microsoft.com/office/drawing/2014/main" id="{8840A0B8-F77F-4B32-A841-AE05D1AD3D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456406</xdr:colOff>
      <xdr:row>1</xdr:row>
      <xdr:rowOff>115123</xdr:rowOff>
    </xdr:from>
    <xdr:to>
      <xdr:col>18</xdr:col>
      <xdr:colOff>604855</xdr:colOff>
      <xdr:row>10</xdr:row>
      <xdr:rowOff>148828</xdr:rowOff>
    </xdr:to>
    <xdr:pic>
      <xdr:nvPicPr>
        <xdr:cNvPr id="7" name="Picture 6">
          <a:extLst>
            <a:ext uri="{FF2B5EF4-FFF2-40B4-BE49-F238E27FC236}">
              <a16:creationId xmlns:a16="http://schemas.microsoft.com/office/drawing/2014/main" id="{B46EA250-9638-67BA-AB02-705606EC104B}"/>
            </a:ext>
          </a:extLst>
        </xdr:cNvPr>
        <xdr:cNvPicPr>
          <a:picLocks noChangeAspect="1"/>
        </xdr:cNvPicPr>
      </xdr:nvPicPr>
      <xdr:blipFill>
        <a:blip xmlns:r="http://schemas.openxmlformats.org/officeDocument/2006/relationships" r:embed="rId3"/>
        <a:stretch>
          <a:fillRect/>
        </a:stretch>
      </xdr:blipFill>
      <xdr:spPr>
        <a:xfrm>
          <a:off x="7441406" y="710436"/>
          <a:ext cx="4385090" cy="1809720"/>
        </a:xfrm>
        <a:prstGeom prst="rect">
          <a:avLst/>
        </a:prstGeom>
      </xdr:spPr>
    </xdr:pic>
    <xdr:clientData/>
  </xdr:twoCellAnchor>
  <xdr:twoCellAnchor>
    <xdr:from>
      <xdr:col>13</xdr:col>
      <xdr:colOff>357187</xdr:colOff>
      <xdr:row>11</xdr:row>
      <xdr:rowOff>99219</xdr:rowOff>
    </xdr:from>
    <xdr:to>
      <xdr:col>21</xdr:col>
      <xdr:colOff>19843</xdr:colOff>
      <xdr:row>30</xdr:row>
      <xdr:rowOff>9923</xdr:rowOff>
    </xdr:to>
    <mc:AlternateContent xmlns:mc="http://schemas.openxmlformats.org/markup-compatibility/2006" xmlns:a14="http://schemas.microsoft.com/office/drawing/2010/main">
      <mc:Choice Requires="a14">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pPr algn="l"/>
              <a:endParaRPr lang="en-US" sz="1600" b="1">
                <a:solidFill>
                  <a:srgbClr val="0070C0"/>
                </a:solidFill>
              </a:endParaRPr>
            </a:p>
          </xdr:txBody>
        </xdr:sp>
      </mc:Choice>
      <mc:Fallback xmlns="">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(1+𝑅_𝐹/𝑅_𝑏 )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pPr algn="l"/>
              <a:endParaRPr lang="en-US" sz="1600" b="1">
                <a:solidFill>
                  <a:srgbClr val="0070C0"/>
                </a:solidFill>
              </a:endParaRPr>
            </a:p>
          </xdr:txBody>
        </xdr:sp>
      </mc:Fallback>
    </mc:AlternateContent>
    <xdr:clientData/>
  </xdr:twoCellAnchor>
  <xdr:twoCellAnchor editAs="oneCell">
    <xdr:from>
      <xdr:col>21</xdr:col>
      <xdr:colOff>536160</xdr:colOff>
      <xdr:row>0</xdr:row>
      <xdr:rowOff>428624</xdr:rowOff>
    </xdr:from>
    <xdr:to>
      <xdr:col>28</xdr:col>
      <xdr:colOff>201093</xdr:colOff>
      <xdr:row>37</xdr:row>
      <xdr:rowOff>152400</xdr:rowOff>
    </xdr:to>
    <xdr:pic>
      <xdr:nvPicPr>
        <xdr:cNvPr id="4" name="Picture 3">
          <a:extLst>
            <a:ext uri="{FF2B5EF4-FFF2-40B4-BE49-F238E27FC236}">
              <a16:creationId xmlns:a16="http://schemas.microsoft.com/office/drawing/2014/main" id="{CE842C94-EC0A-1685-87C1-B6D9486FE2CA}"/>
            </a:ext>
          </a:extLst>
        </xdr:cNvPr>
        <xdr:cNvPicPr>
          <a:picLocks noChangeAspect="1"/>
        </xdr:cNvPicPr>
      </xdr:nvPicPr>
      <xdr:blipFill>
        <a:blip xmlns:r="http://schemas.openxmlformats.org/officeDocument/2006/relationships" r:embed="rId4"/>
        <a:stretch>
          <a:fillRect/>
        </a:stretch>
      </xdr:blipFill>
      <xdr:spPr>
        <a:xfrm>
          <a:off x="13375860" y="428624"/>
          <a:ext cx="3932133" cy="7277101"/>
        </a:xfrm>
        <a:prstGeom prst="rect">
          <a:avLst/>
        </a:prstGeom>
      </xdr:spPr>
    </xdr:pic>
    <xdr:clientData/>
  </xdr:twoCellAnchor>
  <xdr:twoCellAnchor editAs="oneCell">
    <xdr:from>
      <xdr:col>21</xdr:col>
      <xdr:colOff>560293</xdr:colOff>
      <xdr:row>39</xdr:row>
      <xdr:rowOff>44823</xdr:rowOff>
    </xdr:from>
    <xdr:to>
      <xdr:col>29</xdr:col>
      <xdr:colOff>530148</xdr:colOff>
      <xdr:row>54</xdr:row>
      <xdr:rowOff>14963</xdr:rowOff>
    </xdr:to>
    <xdr:pic>
      <xdr:nvPicPr>
        <xdr:cNvPr id="5" name="Picture 4">
          <a:extLst>
            <a:ext uri="{FF2B5EF4-FFF2-40B4-BE49-F238E27FC236}">
              <a16:creationId xmlns:a16="http://schemas.microsoft.com/office/drawing/2014/main" id="{72EE9969-5E62-49D6-B574-D08F3575BEEE}"/>
            </a:ext>
          </a:extLst>
        </xdr:cNvPr>
        <xdr:cNvPicPr>
          <a:picLocks noChangeAspect="1"/>
        </xdr:cNvPicPr>
      </xdr:nvPicPr>
      <xdr:blipFill>
        <a:blip xmlns:r="http://schemas.openxmlformats.org/officeDocument/2006/relationships" r:embed="rId5"/>
        <a:stretch>
          <a:fillRect/>
        </a:stretch>
      </xdr:blipFill>
      <xdr:spPr>
        <a:xfrm>
          <a:off x="13323793" y="8000999"/>
          <a:ext cx="4810796" cy="2838846"/>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6</xdr:col>
      <xdr:colOff>293690</xdr:colOff>
      <xdr:row>15</xdr:row>
      <xdr:rowOff>86916</xdr:rowOff>
    </xdr:from>
    <xdr:to>
      <xdr:col>13</xdr:col>
      <xdr:colOff>23816</xdr:colOff>
      <xdr:row>30</xdr:row>
      <xdr:rowOff>12305</xdr:rowOff>
    </xdr:to>
    <xdr:graphicFrame macro="">
      <xdr:nvGraphicFramePr>
        <xdr:cNvPr id="2" name="Chart 1">
          <a:extLst>
            <a:ext uri="{FF2B5EF4-FFF2-40B4-BE49-F238E27FC236}">
              <a16:creationId xmlns:a16="http://schemas.microsoft.com/office/drawing/2014/main" id="{F40BE287-CE1F-46CE-8D11-B7F6FCC528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45</xdr:row>
      <xdr:rowOff>136524</xdr:rowOff>
    </xdr:from>
    <xdr:to>
      <xdr:col>14</xdr:col>
      <xdr:colOff>460375</xdr:colOff>
      <xdr:row>60</xdr:row>
      <xdr:rowOff>51989</xdr:rowOff>
    </xdr:to>
    <xdr:graphicFrame macro="">
      <xdr:nvGraphicFramePr>
        <xdr:cNvPr id="5" name="Chart 4">
          <a:extLst>
            <a:ext uri="{FF2B5EF4-FFF2-40B4-BE49-F238E27FC236}">
              <a16:creationId xmlns:a16="http://schemas.microsoft.com/office/drawing/2014/main" id="{8FCF3299-4B74-4D28-A7A3-3F25BA8F7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188516</xdr:colOff>
      <xdr:row>1</xdr:row>
      <xdr:rowOff>138907</xdr:rowOff>
    </xdr:from>
    <xdr:to>
      <xdr:col>17</xdr:col>
      <xdr:colOff>459083</xdr:colOff>
      <xdr:row>11</xdr:row>
      <xdr:rowOff>172112</xdr:rowOff>
    </xdr:to>
    <xdr:pic>
      <xdr:nvPicPr>
        <xdr:cNvPr id="6" name="Picture 5">
          <a:extLst>
            <a:ext uri="{FF2B5EF4-FFF2-40B4-BE49-F238E27FC236}">
              <a16:creationId xmlns:a16="http://schemas.microsoft.com/office/drawing/2014/main" id="{0F391373-4D33-4F9B-9F40-7C20F4762E2D}"/>
            </a:ext>
          </a:extLst>
        </xdr:cNvPr>
        <xdr:cNvPicPr/>
      </xdr:nvPicPr>
      <xdr:blipFill>
        <a:blip xmlns:r="http://schemas.openxmlformats.org/officeDocument/2006/relationships" r:embed="rId3" cstate="hqprint">
          <a:extLst>
            <a:ext uri="{28A0092B-C50C-407E-A947-70E740481C1C}">
              <a14:useLocalDpi xmlns:a14="http://schemas.microsoft.com/office/drawing/2010/main" val="0"/>
            </a:ext>
          </a:extLst>
        </a:blip>
        <a:stretch>
          <a:fillRect/>
        </a:stretch>
      </xdr:blipFill>
      <xdr:spPr>
        <a:xfrm>
          <a:off x="7173516" y="734220"/>
          <a:ext cx="3296739" cy="1997736"/>
        </a:xfrm>
        <a:prstGeom prst="rect">
          <a:avLst/>
        </a:prstGeom>
      </xdr:spPr>
    </xdr:pic>
    <xdr:clientData/>
  </xdr:twoCellAnchor>
  <xdr:twoCellAnchor>
    <xdr:from>
      <xdr:col>20</xdr:col>
      <xdr:colOff>555624</xdr:colOff>
      <xdr:row>12</xdr:row>
      <xdr:rowOff>109140</xdr:rowOff>
    </xdr:from>
    <xdr:to>
      <xdr:col>25</xdr:col>
      <xdr:colOff>287735</xdr:colOff>
      <xdr:row>25</xdr:row>
      <xdr:rowOff>39688</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1800">
                <a:effectLst/>
              </a:endParaRPr>
            </a:p>
            <a:p>
              <a:endParaRPr lang="en-CA" sz="1800">
                <a:effectLst/>
              </a:endParaRPr>
            </a:p>
            <a:p>
              <a:endParaRPr lang="en-US" sz="1600"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kern="1200">
                  <a:solidFill>
                    <a:schemeClr val="tx1"/>
                  </a:solidFill>
                  <a:effectLst/>
                  <a:latin typeface="+mn-lt"/>
                  <a:ea typeface="+mn-ea"/>
                  <a:cs typeface="+mn-cs"/>
                </a:rPr>
                <a:t>Cutoff Frequency: </a:t>
              </a:r>
              <a:r>
                <a:rPr lang="en-US" sz="1600" i="0" kern="1200">
                  <a:solidFill>
                    <a:schemeClr val="tx1"/>
                  </a:solidFill>
                  <a:effectLst/>
                  <a:latin typeface="+mn-lt"/>
                  <a:ea typeface="+mn-ea"/>
                  <a:cs typeface="+mn-cs"/>
                </a:rPr>
                <a:t>𝑓_𝑐=1/(2𝜋𝑅_𝐹 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1800">
                <a:effectLst/>
              </a:endParaRPr>
            </a:p>
            <a:p>
              <a:endParaRPr lang="en-CA" sz="1800">
                <a:effectLst/>
              </a:endParaRPr>
            </a:p>
            <a:p>
              <a:endParaRPr lang="en-US" sz="1600" b="0">
                <a:solidFill>
                  <a:schemeClr val="tx1"/>
                </a:solidFill>
              </a:endParaRPr>
            </a:p>
          </xdr:txBody>
        </xdr:sp>
      </mc:Fallback>
    </mc:AlternateContent>
    <xdr:clientData/>
  </xdr:twoCellAnchor>
  <xdr:twoCellAnchor editAs="oneCell">
    <xdr:from>
      <xdr:col>25</xdr:col>
      <xdr:colOff>357187</xdr:colOff>
      <xdr:row>4</xdr:row>
      <xdr:rowOff>134793</xdr:rowOff>
    </xdr:from>
    <xdr:to>
      <xdr:col>34</xdr:col>
      <xdr:colOff>121322</xdr:colOff>
      <xdr:row>26</xdr:row>
      <xdr:rowOff>29766</xdr:rowOff>
    </xdr:to>
    <xdr:pic>
      <xdr:nvPicPr>
        <xdr:cNvPr id="4" name="Picture 3">
          <a:extLst>
            <a:ext uri="{FF2B5EF4-FFF2-40B4-BE49-F238E27FC236}">
              <a16:creationId xmlns:a16="http://schemas.microsoft.com/office/drawing/2014/main" id="{1C92F000-BF84-BDC1-880E-7E2829A1FB85}"/>
            </a:ext>
          </a:extLst>
        </xdr:cNvPr>
        <xdr:cNvPicPr>
          <a:picLocks noChangeAspect="1"/>
        </xdr:cNvPicPr>
      </xdr:nvPicPr>
      <xdr:blipFill>
        <a:blip xmlns:r="http://schemas.openxmlformats.org/officeDocument/2006/relationships" r:embed="rId4"/>
        <a:stretch>
          <a:fillRect/>
        </a:stretch>
      </xdr:blipFill>
      <xdr:spPr>
        <a:xfrm>
          <a:off x="15815468" y="1325418"/>
          <a:ext cx="5211245" cy="4101848"/>
        </a:xfrm>
        <a:prstGeom prst="rect">
          <a:avLst/>
        </a:prstGeom>
      </xdr:spPr>
    </xdr:pic>
    <xdr:clientData/>
  </xdr:twoCellAnchor>
  <xdr:twoCellAnchor>
    <xdr:from>
      <xdr:col>13</xdr:col>
      <xdr:colOff>228204</xdr:colOff>
      <xdr:row>12</xdr:row>
      <xdr:rowOff>109141</xdr:rowOff>
    </xdr:from>
    <xdr:to>
      <xdr:col>20</xdr:col>
      <xdr:colOff>496095</xdr:colOff>
      <xdr:row>29</xdr:row>
      <xdr:rowOff>9525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b="0" i="1">
                      <a:solidFill>
                        <a:schemeClr val="tx1"/>
                      </a:solidFill>
                      <a:latin typeface="Cambria Math" panose="02040503050406030204" pitchFamily="18" charset="0"/>
                    </a:rPr>
                    <m:t>=</m:t>
                  </m:r>
                  <m:r>
                    <a:rPr lang="en-CA" sz="1400" b="1" i="1">
                      <a:solidFill>
                        <a:schemeClr val="tx1"/>
                      </a:solidFill>
                      <a:latin typeface="Cambria Math" panose="02040503050406030204" pitchFamily="18" charset="0"/>
                    </a:rPr>
                    <m:t>𝟏</m:t>
                  </m:r>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CA" sz="1400" b="1" i="1">
                          <a:solidFill>
                            <a:schemeClr val="tx1"/>
                          </a:solidFill>
                          <a:latin typeface="Cambria Math" panose="02040503050406030204" pitchFamily="18" charset="0"/>
                        </a:rPr>
                        <m:t>𝑭</m:t>
                      </m:r>
                    </m:sub>
                  </m:sSub>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𝟏</m:t>
                      </m:r>
                    </m:sub>
                  </m:sSub>
                </m:oMath>
              </a14:m>
              <a:endParaRPr lang="en-US" sz="1400" b="1">
                <a:solidFill>
                  <a:schemeClr val="tx1"/>
                </a:solidFill>
              </a:endParaRPr>
            </a:p>
            <a:p>
              <a:r>
                <a:rPr lang="en-US" sz="1600">
                  <a:solidFill>
                    <a:schemeClr val="tx1"/>
                  </a:solidFill>
                </a:rPr>
                <a:t>Cutoff Frequency: </a:t>
              </a:r>
              <a14:m>
                <m:oMath xmlns:m="http://schemas.openxmlformats.org/officeDocument/2006/math">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𝑓</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𝑅</m:t>
                          </m:r>
                        </m:e>
                        <m:sub>
                          <m:r>
                            <a:rPr lang="en-US" sz="1600" b="0" i="1">
                              <a:solidFill>
                                <a:schemeClr val="tx1"/>
                              </a:solidFill>
                              <a:latin typeface="Cambria Math" panose="02040503050406030204" pitchFamily="18" charset="0"/>
                            </a:rPr>
                            <m:t>𝐹</m:t>
                          </m:r>
                        </m:sub>
                      </m:sSub>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b="1">
                  <a:solidFill>
                    <a:schemeClr val="tx1"/>
                  </a:solidFill>
                </a:rPr>
                <a:t>Stop-Region Gain:</a:t>
              </a:r>
              <a:endParaRPr lang="en-US" sz="1600">
                <a:solidFill>
                  <a:schemeClr val="tx1"/>
                </a:solidFill>
              </a:endParaRPr>
            </a:p>
            <a:p>
              <a:pPr/>
              <a14:m>
                <m:oMathPara xmlns:m="http://schemas.openxmlformats.org/officeDocument/2006/math">
                  <m:oMathParaPr>
                    <m:jc m:val="left"/>
                  </m:oMathParaPr>
                  <m:oMath xmlns:m="http://schemas.openxmlformats.org/officeDocument/2006/math">
                    <m:f>
                      <m:fPr>
                        <m:ctrlPr>
                          <a:rPr lang="en-US" sz="1200" i="1" kern="1200">
                            <a:solidFill>
                              <a:schemeClr val="tx1"/>
                            </a:solidFill>
                            <a:effectLst/>
                            <a:latin typeface="Cambria Math" panose="02040503050406030204" pitchFamily="18" charset="0"/>
                            <a:ea typeface="+mn-ea"/>
                            <a:cs typeface="+mn-cs"/>
                          </a:rPr>
                        </m:ctrlPr>
                      </m:fPr>
                      <m:num>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kern="1200">
                        <a:solidFill>
                          <a:schemeClr val="tx1"/>
                        </a:solidFill>
                        <a:effectLst/>
                        <a:latin typeface="Cambria Math" panose="02040503050406030204" pitchFamily="18" charset="0"/>
                        <a:ea typeface="+mn-ea"/>
                        <a:cs typeface="+mn-cs"/>
                      </a:rPr>
                      <m:t>=</m:t>
                    </m:r>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1+</m:t>
                        </m:r>
                        <m:f>
                          <m:fPr>
                            <m:ctrlPr>
                              <a:rPr lang="en-US" sz="1200" i="1" kern="1200">
                                <a:solidFill>
                                  <a:schemeClr val="tx1"/>
                                </a:solidFill>
                                <a:effectLst/>
                                <a:latin typeface="Cambria Math" panose="02040503050406030204" pitchFamily="18" charset="0"/>
                                <a:ea typeface="+mn-ea"/>
                                <a:cs typeface="+mn-cs"/>
                              </a:rPr>
                            </m:ctrlPr>
                          </m:fPr>
                          <m:num>
                            <m:f>
                              <m:fPr>
                                <m:type m:val="skw"/>
                                <m:ctrlPr>
                                  <a:rPr lang="en-CA" sz="1200" i="1" kern="1200" baseline="0">
                                    <a:solidFill>
                                      <a:schemeClr val="tx1"/>
                                    </a:solidFill>
                                    <a:effectLst/>
                                    <a:latin typeface="Cambria Math" panose="02040503050406030204" pitchFamily="18" charset="0"/>
                                    <a:ea typeface="+mn-ea"/>
                                    <a:cs typeface="+mn-cs"/>
                                  </a:rPr>
                                </m:ctrlPr>
                              </m:fPr>
                              <m:num>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200" i="1" kern="1200">
                                    <a:solidFill>
                                      <a:schemeClr val="tx1"/>
                                    </a:solidFill>
                                    <a:effectLst/>
                                    <a:latin typeface="Cambria Math" panose="02040503050406030204" pitchFamily="18" charset="0"/>
                                    <a:ea typeface="+mn-ea"/>
                                    <a:cs typeface="+mn-cs"/>
                                  </a:rPr>
                                </m:ctrlPr>
                              </m:radPr>
                              <m:deg/>
                              <m:e>
                                <m:sSup>
                                  <m:sSupPr>
                                    <m:ctrlPr>
                                      <a:rPr lang="en-US" sz="1200" i="1" kern="1200">
                                        <a:solidFill>
                                          <a:schemeClr val="tx1"/>
                                        </a:solidFill>
                                        <a:effectLst/>
                                        <a:latin typeface="Cambria Math" panose="02040503050406030204" pitchFamily="18" charset="0"/>
                                        <a:ea typeface="+mn-ea"/>
                                        <a:cs typeface="+mn-cs"/>
                                      </a:rPr>
                                    </m:ctrlPr>
                                  </m:sSupPr>
                                  <m:e>
                                    <m:r>
                                      <a:rPr lang="en-CA" sz="1200" b="0" i="1" kern="1200">
                                        <a:solidFill>
                                          <a:schemeClr val="tx1"/>
                                        </a:solidFill>
                                        <a:effectLst/>
                                        <a:latin typeface="Cambria Math" panose="02040503050406030204" pitchFamily="18" charset="0"/>
                                        <a:ea typeface="+mn-ea"/>
                                        <a:cs typeface="+mn-cs"/>
                                      </a:rPr>
                                      <m:t>1+</m:t>
                                    </m:r>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e>
                    </m:d>
                  </m:oMath>
                </m:oMathPara>
              </a14:m>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14:m>
                <m:oMath xmlns:m="http://schemas.openxmlformats.org/officeDocument/2006/math">
                  <m:r>
                    <a:rPr lang="en-US" sz="1600" b="0" i="1"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𝐺𝑎𝑖𝑛</m:t>
                      </m:r>
                    </m:e>
                    <m:sub>
                      <m:r>
                        <a:rPr lang="en-US" sz="1600" b="0" i="1" kern="1200">
                          <a:solidFill>
                            <a:schemeClr val="tx1"/>
                          </a:solidFill>
                          <a:effectLst/>
                          <a:latin typeface="Cambria Math" panose="02040503050406030204" pitchFamily="18" charset="0"/>
                          <a:ea typeface="+mn-ea"/>
                          <a:cs typeface="+mn-cs"/>
                        </a:rPr>
                        <m:t>𝑑𝐵</m:t>
                      </m:r>
                    </m:sub>
                  </m:sSub>
                  <m:r>
                    <a:rPr lang="en-US" sz="1600" b="0" i="1" kern="1200">
                      <a:solidFill>
                        <a:schemeClr val="tx1"/>
                      </a:solidFill>
                      <a:effectLst/>
                      <a:latin typeface="Cambria Math" panose="02040503050406030204" pitchFamily="18" charset="0"/>
                      <a:ea typeface="+mn-ea"/>
                      <a:cs typeface="+mn-cs"/>
                    </a:rPr>
                    <m:t>=20×</m:t>
                  </m:r>
                  <m:r>
                    <a:rPr lang="en-US" sz="1600" b="0" i="1" kern="1200">
                      <a:solidFill>
                        <a:schemeClr val="tx1"/>
                      </a:solidFill>
                      <a:effectLst/>
                      <a:latin typeface="Cambria Math" panose="02040503050406030204" pitchFamily="18" charset="0"/>
                      <a:ea typeface="+mn-ea"/>
                      <a:cs typeface="+mn-cs"/>
                    </a:rPr>
                    <m:t>𝑙𝑜𝑔</m:t>
                  </m:r>
                  <m:d>
                    <m:dPr>
                      <m:ctrlPr>
                        <a:rPr lang="en-US" sz="1600" b="0" i="1" kern="1200">
                          <a:solidFill>
                            <a:schemeClr val="tx1"/>
                          </a:solidFill>
                          <a:effectLst/>
                          <a:latin typeface="Cambria Math" panose="02040503050406030204" pitchFamily="18" charset="0"/>
                          <a:ea typeface="+mn-ea"/>
                          <a:cs typeface="+mn-cs"/>
                        </a:rPr>
                      </m:ctrlPr>
                    </m:dPr>
                    <m:e>
                      <m:r>
                        <a:rPr lang="en-CA" sz="1800" b="0" i="1" kern="1200">
                          <a:solidFill>
                            <a:schemeClr val="tx1"/>
                          </a:solidFill>
                          <a:effectLst/>
                          <a:latin typeface="Cambria Math" panose="02040503050406030204" pitchFamily="18" charset="0"/>
                          <a:ea typeface="+mn-ea"/>
                          <a:cs typeface="+mn-cs"/>
                        </a:rPr>
                        <m:t>1+</m:t>
                      </m:r>
                      <m:f>
                        <m:fPr>
                          <m:ctrlPr>
                            <a:rPr lang="en-US" sz="1800" i="1" kern="1200">
                              <a:solidFill>
                                <a:schemeClr val="tx1"/>
                              </a:solidFill>
                              <a:effectLst/>
                              <a:latin typeface="Cambria Math" panose="02040503050406030204" pitchFamily="18" charset="0"/>
                              <a:ea typeface="+mn-ea"/>
                              <a:cs typeface="+mn-cs"/>
                            </a:rPr>
                          </m:ctrlPr>
                        </m:fPr>
                        <m:num>
                          <m:f>
                            <m:fPr>
                              <m:type m:val="skw"/>
                              <m:ctrlPr>
                                <a:rPr lang="en-CA" sz="1800" i="1" kern="1200" baseline="0">
                                  <a:solidFill>
                                    <a:schemeClr val="tx1"/>
                                  </a:solidFill>
                                  <a:effectLst/>
                                  <a:latin typeface="Cambria Math" panose="02040503050406030204" pitchFamily="18" charset="0"/>
                                  <a:ea typeface="+mn-ea"/>
                                  <a:cs typeface="+mn-cs"/>
                                </a:rPr>
                              </m:ctrlPr>
                            </m:fPr>
                            <m:num>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𝐹</m:t>
                                  </m:r>
                                </m:sub>
                              </m:sSub>
                            </m:num>
                            <m:den>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800" i="1" kern="1200">
                                  <a:solidFill>
                                    <a:schemeClr val="tx1"/>
                                  </a:solidFill>
                                  <a:effectLst/>
                                  <a:latin typeface="Cambria Math" panose="02040503050406030204" pitchFamily="18" charset="0"/>
                                  <a:ea typeface="+mn-ea"/>
                                  <a:cs typeface="+mn-cs"/>
                                </a:rPr>
                              </m:ctrlPr>
                            </m:radPr>
                            <m:deg/>
                            <m:e>
                              <m:sSup>
                                <m:sSupPr>
                                  <m:ctrlPr>
                                    <a:rPr lang="en-US" sz="1800" i="1" kern="1200">
                                      <a:solidFill>
                                        <a:schemeClr val="tx1"/>
                                      </a:solidFill>
                                      <a:effectLst/>
                                      <a:latin typeface="Cambria Math" panose="02040503050406030204" pitchFamily="18" charset="0"/>
                                      <a:ea typeface="+mn-ea"/>
                                      <a:cs typeface="+mn-cs"/>
                                    </a:rPr>
                                  </m:ctrlPr>
                                </m:sSupPr>
                                <m:e>
                                  <m:r>
                                    <a:rPr lang="en-CA" sz="1800" b="0" i="1" kern="1200">
                                      <a:solidFill>
                                        <a:schemeClr val="tx1"/>
                                      </a:solidFill>
                                      <a:effectLst/>
                                      <a:latin typeface="Cambria Math" panose="02040503050406030204" pitchFamily="18" charset="0"/>
                                      <a:ea typeface="+mn-ea"/>
                                      <a:cs typeface="+mn-cs"/>
                                    </a:rPr>
                                    <m:t>1+</m:t>
                                  </m:r>
                                  <m:d>
                                    <m:dPr>
                                      <m:ctrlPr>
                                        <a:rPr lang="en-US" sz="1800" i="1" kern="1200">
                                          <a:solidFill>
                                            <a:schemeClr val="tx1"/>
                                          </a:solidFill>
                                          <a:effectLst/>
                                          <a:latin typeface="Cambria Math" panose="02040503050406030204" pitchFamily="18" charset="0"/>
                                          <a:ea typeface="+mn-ea"/>
                                          <a:cs typeface="+mn-cs"/>
                                        </a:rPr>
                                      </m:ctrlPr>
                                    </m:dPr>
                                    <m:e>
                                      <m:f>
                                        <m:fPr>
                                          <m:ctrlPr>
                                            <a:rPr lang="en-US" sz="180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𝑓</m:t>
                                          </m:r>
                                        </m:num>
                                        <m:den>
                                          <m:sSub>
                                            <m:sSubPr>
                                              <m:ctrlPr>
                                                <a:rPr lang="en-US" sz="180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𝑓</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e>
                  </m:d>
                </m:oMath>
              </a14:m>
              <a:endParaRPr lang="en-US" sz="16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r>
                <a:rPr lang="en-US" sz="1400" i="0">
                  <a:solidFill>
                    <a:schemeClr val="tx1"/>
                  </a:solidFill>
                  <a:latin typeface="Cambria Math" panose="02040503050406030204" pitchFamily="18" charset="0"/>
                </a:rPr>
                <a:t>〖 𝑨〗_𝒗</a:t>
              </a:r>
              <a:r>
                <a:rPr lang="en-US" sz="1400" b="0" i="0">
                  <a:solidFill>
                    <a:schemeClr val="tx1"/>
                  </a:solidFill>
                  <a:latin typeface="Cambria Math" panose="02040503050406030204" pitchFamily="18" charset="0"/>
                </a:rPr>
                <a:t>=</a:t>
              </a:r>
              <a:r>
                <a:rPr lang="en-CA" sz="1400" b="1" i="0">
                  <a:solidFill>
                    <a:schemeClr val="tx1"/>
                  </a:solidFill>
                  <a:latin typeface="Cambria Math" panose="02040503050406030204" pitchFamily="18" charset="0"/>
                </a:rPr>
                <a:t>𝟏+𝑹_𝑭/𝑹_</a:t>
              </a:r>
              <a:r>
                <a:rPr lang="en-US" sz="1400" b="1" i="0">
                  <a:solidFill>
                    <a:schemeClr val="tx1"/>
                  </a:solidFill>
                  <a:latin typeface="Cambria Math" panose="02040503050406030204" pitchFamily="18" charset="0"/>
                </a:rPr>
                <a:t>𝟏</a:t>
              </a:r>
              <a:endParaRPr lang="en-US" sz="1400" b="1">
                <a:solidFill>
                  <a:schemeClr val="tx1"/>
                </a:solidFill>
              </a:endParaRPr>
            </a:p>
            <a:p>
              <a:r>
                <a:rPr lang="en-US" sz="1600">
                  <a:solidFill>
                    <a:schemeClr val="tx1"/>
                  </a:solidFill>
                </a:rPr>
                <a:t>Cutoff Frequency: </a:t>
              </a:r>
              <a:r>
                <a:rPr lang="en-US" sz="1600" i="0">
                  <a:solidFill>
                    <a:schemeClr val="tx1"/>
                  </a:solidFill>
                  <a:latin typeface="Cambria Math" panose="02040503050406030204" pitchFamily="18" charset="0"/>
                </a:rPr>
                <a:t>𝑓_𝑐=1/(2𝜋𝑅_</a:t>
              </a:r>
              <a:r>
                <a:rPr lang="en-US" sz="1600" b="0" i="0">
                  <a:solidFill>
                    <a:schemeClr val="tx1"/>
                  </a:solidFill>
                  <a:latin typeface="Cambria Math" panose="02040503050406030204" pitchFamily="18" charset="0"/>
                </a:rPr>
                <a:t>𝐹 </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b="1">
                  <a:solidFill>
                    <a:schemeClr val="tx1"/>
                  </a:solidFill>
                </a:rPr>
                <a:t>Stop-Region Gain:</a:t>
              </a:r>
              <a:endParaRPr lang="en-US" sz="1600">
                <a:solidFill>
                  <a:schemeClr val="tx1"/>
                </a:solidFill>
              </a:endParaRPr>
            </a:p>
            <a:p>
              <a:pPr/>
              <a:r>
                <a:rPr lang="en-US" sz="1200" i="0" kern="1200">
                  <a:solidFill>
                    <a:schemeClr val="tx1"/>
                  </a:solidFill>
                  <a:effectLst/>
                  <a:latin typeface="+mn-lt"/>
                  <a:ea typeface="+mn-ea"/>
                  <a:cs typeface="+mn-cs"/>
                </a:rPr>
                <a:t>𝑉_𝑜𝑢𝑡/𝑉_𝑖𝑛 =(</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baseline="0">
                  <a:solidFill>
                    <a:schemeClr val="tx1"/>
                  </a:solidFill>
                  <a:effectLst/>
                  <a:latin typeface="+mn-lt"/>
                  <a:ea typeface="+mn-ea"/>
                  <a:cs typeface="+mn-cs"/>
                </a:rPr>
                <a:t>𝑅_𝐹⁄𝑅_1 </a:t>
              </a:r>
              <a:r>
                <a:rPr lang="en-US" sz="1200" b="0" i="0" kern="1200" baseline="0">
                  <a:solidFill>
                    <a:schemeClr val="tx1"/>
                  </a:solidFill>
                  <a:effectLst/>
                  <a:latin typeface="+mn-lt"/>
                  <a:ea typeface="+mn-ea"/>
                  <a:cs typeface="+mn-cs"/>
                </a:rPr>
                <a:t>)/√(〖</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_</a:t>
              </a:r>
              <a:r>
                <a:rPr lang="en-CA" sz="1200" b="0" i="0" kern="1200">
                  <a:solidFill>
                    <a:schemeClr val="tx1"/>
                  </a:solidFill>
                  <a:effectLst/>
                  <a:latin typeface="+mn-lt"/>
                  <a:ea typeface="+mn-ea"/>
                  <a:cs typeface="+mn-cs"/>
                </a:rPr>
                <a:t>𝑐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2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a:t>
              </a:r>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r>
                <a:rPr lang="en-US" sz="1600" b="0" i="0" kern="1200">
                  <a:solidFill>
                    <a:schemeClr val="tx1"/>
                  </a:solidFill>
                  <a:effectLst/>
                  <a:latin typeface="Cambria Math" panose="02040503050406030204" pitchFamily="18" charset="0"/>
                  <a:ea typeface="+mn-ea"/>
                  <a:cs typeface="+mn-cs"/>
                </a:rPr>
                <a:t>→〖𝐺𝑎𝑖𝑛〗_𝑑𝐵=20×𝑙𝑜𝑔(</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baseline="0">
                  <a:solidFill>
                    <a:schemeClr val="tx1"/>
                  </a:solidFill>
                  <a:effectLst/>
                  <a:latin typeface="+mn-lt"/>
                  <a:ea typeface="+mn-ea"/>
                  <a:cs typeface="+mn-cs"/>
                </a:rPr>
                <a:t>𝑅_𝐹⁄𝑅_1 </a:t>
              </a:r>
              <a:r>
                <a:rPr lang="en-US" sz="1800" b="0" i="0" kern="1200" baseline="0">
                  <a:solidFill>
                    <a:schemeClr val="tx1"/>
                  </a:solidFill>
                  <a:effectLst/>
                  <a:latin typeface="+mn-lt"/>
                  <a:ea typeface="+mn-ea"/>
                  <a:cs typeface="+mn-cs"/>
                </a:rPr>
                <a:t>)/√(〖</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_</a:t>
              </a:r>
              <a:r>
                <a:rPr lang="en-CA" sz="1800" b="0" i="0" kern="1200">
                  <a:solidFill>
                    <a:schemeClr val="tx1"/>
                  </a:solidFill>
                  <a:effectLst/>
                  <a:latin typeface="+mn-lt"/>
                  <a:ea typeface="+mn-ea"/>
                  <a:cs typeface="+mn-cs"/>
                </a:rPr>
                <a:t>𝑐 )</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 </a:t>
              </a:r>
              <a:r>
                <a:rPr lang="en-US" sz="1800" b="0" i="0" kern="1200">
                  <a:solidFill>
                    <a:schemeClr val="tx1"/>
                  </a:solidFill>
                  <a:effectLst/>
                  <a:latin typeface="+mn-lt"/>
                  <a:ea typeface="+mn-ea"/>
                  <a:cs typeface="+mn-cs"/>
                </a:rPr>
                <a:t>)</a:t>
              </a:r>
              <a:r>
                <a:rPr lang="en-US" sz="1800" b="0" i="0" kern="1200">
                  <a:solidFill>
                    <a:schemeClr val="tx1"/>
                  </a:solidFill>
                  <a:effectLst/>
                  <a:latin typeface="Cambria Math" panose="02040503050406030204" pitchFamily="18" charset="0"/>
                  <a:ea typeface="+mn-ea"/>
                  <a:cs typeface="+mn-cs"/>
                </a:rPr>
                <a:t>)</a:t>
              </a:r>
              <a:endParaRPr lang="en-US" sz="1600" b="0">
                <a:solidFill>
                  <a:schemeClr val="tx1"/>
                </a:solidFill>
              </a:endParaRPr>
            </a:p>
          </xdr:txBody>
        </xdr:sp>
      </mc:Fallback>
    </mc:AlternateContent>
    <xdr:clientData/>
  </xdr:twoCellAnchor>
  <xdr:twoCellAnchor editAs="oneCell">
    <xdr:from>
      <xdr:col>33</xdr:col>
      <xdr:colOff>0</xdr:colOff>
      <xdr:row>37</xdr:row>
      <xdr:rowOff>1</xdr:rowOff>
    </xdr:from>
    <xdr:to>
      <xdr:col>45</xdr:col>
      <xdr:colOff>496390</xdr:colOff>
      <xdr:row>61</xdr:row>
      <xdr:rowOff>143535</xdr:rowOff>
    </xdr:to>
    <xdr:pic>
      <xdr:nvPicPr>
        <xdr:cNvPr id="9" name="Picture 8">
          <a:extLst>
            <a:ext uri="{FF2B5EF4-FFF2-40B4-BE49-F238E27FC236}">
              <a16:creationId xmlns:a16="http://schemas.microsoft.com/office/drawing/2014/main" id="{0D93F1FC-1579-475C-9899-A8C35779DDBC}"/>
            </a:ext>
          </a:extLst>
        </xdr:cNvPr>
        <xdr:cNvPicPr>
          <a:picLocks noChangeAspect="1"/>
        </xdr:cNvPicPr>
      </xdr:nvPicPr>
      <xdr:blipFill>
        <a:blip xmlns:r="http://schemas.openxmlformats.org/officeDocument/2006/relationships" r:embed="rId5"/>
        <a:stretch>
          <a:fillRect/>
        </a:stretch>
      </xdr:blipFill>
      <xdr:spPr>
        <a:xfrm>
          <a:off x="20154900" y="7543801"/>
          <a:ext cx="7811590" cy="4725059"/>
        </a:xfrm>
        <a:prstGeom prst="rect">
          <a:avLst/>
        </a:prstGeom>
      </xdr:spPr>
    </xdr:pic>
    <xdr:clientData/>
  </xdr:twoCellAnchor>
  <xdr:twoCellAnchor>
    <xdr:from>
      <xdr:col>22</xdr:col>
      <xdr:colOff>142874</xdr:colOff>
      <xdr:row>29</xdr:row>
      <xdr:rowOff>95250</xdr:rowOff>
    </xdr:from>
    <xdr:to>
      <xdr:col>31</xdr:col>
      <xdr:colOff>342899</xdr:colOff>
      <xdr:row>67</xdr:row>
      <xdr:rowOff>95250</xdr:rowOff>
    </xdr:to>
    <mc:AlternateContent xmlns:mc="http://schemas.openxmlformats.org/markup-compatibility/2006" xmlns:a14="http://schemas.microsoft.com/office/drawing/2010/main">
      <mc:Choice Requires="a14">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𝐴</m:t>
                        </m:r>
                      </m:e>
                      <m:sub>
                        <m:r>
                          <a:rPr lang="en-US" sz="900" i="1" kern="1200">
                            <a:solidFill>
                              <a:schemeClr val="tx1"/>
                            </a:solidFill>
                            <a:effectLst/>
                            <a:latin typeface="Cambria Math" panose="02040503050406030204" pitchFamily="18" charset="0"/>
                            <a:ea typeface="+mn-ea"/>
                            <a:cs typeface="+mn-cs"/>
                          </a:rPr>
                          <m:t>𝑣</m:t>
                        </m:r>
                      </m:sub>
                    </m:sSub>
                    <m:r>
                      <a:rPr lang="en-US" sz="900" i="0" kern="1200">
                        <a:solidFill>
                          <a:schemeClr val="tx1"/>
                        </a:solidFill>
                        <a:effectLst/>
                        <a:latin typeface="Cambria Math" panose="02040503050406030204" pitchFamily="18" charset="0"/>
                        <a:ea typeface="+mn-ea"/>
                        <a:cs typeface="+mn-cs"/>
                      </a:rPr>
                      <m:t>=</m:t>
                    </m:r>
                    <m:f>
                      <m:fPr>
                        <m:ctrlPr>
                          <a:rPr lang="en-US" sz="900" i="1" kern="1200">
                            <a:solidFill>
                              <a:schemeClr val="tx1"/>
                            </a:solidFill>
                            <a:effectLst/>
                            <a:latin typeface="Cambria Math" panose="02040503050406030204" pitchFamily="18" charset="0"/>
                            <a:ea typeface="+mn-ea"/>
                            <a:cs typeface="+mn-cs"/>
                          </a:rPr>
                        </m:ctrlPr>
                      </m:fPr>
                      <m:num>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𝑜𝑢𝑡</m:t>
                            </m:r>
                          </m:sub>
                        </m:sSub>
                      </m:num>
                      <m:den>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𝑖𝑛</m:t>
                            </m:r>
                          </m:sub>
                        </m:sSub>
                      </m:den>
                    </m:f>
                    <m:r>
                      <a:rPr lang="en-US" sz="900" kern="1200">
                        <a:solidFill>
                          <a:schemeClr val="tx1"/>
                        </a:solidFill>
                        <a:effectLst/>
                        <a:latin typeface="Cambria Math" panose="02040503050406030204" pitchFamily="18" charset="0"/>
                        <a:ea typeface="+mn-ea"/>
                        <a:cs typeface="+mn-cs"/>
                      </a:rPr>
                      <m:t>=</m:t>
                    </m:r>
                    <m:r>
                      <a:rPr lang="en-CA" sz="900" b="0" i="0" kern="1200">
                        <a:solidFill>
                          <a:schemeClr val="tx1"/>
                        </a:solidFill>
                        <a:effectLst/>
                        <a:latin typeface="Cambria Math" panose="02040503050406030204" pitchFamily="18" charset="0"/>
                        <a:ea typeface="+mn-ea"/>
                        <a:cs typeface="+mn-cs"/>
                      </a:rPr>
                      <m:t>1+</m:t>
                    </m:r>
                    <m:f>
                      <m:fPr>
                        <m:ctrlPr>
                          <a:rPr lang="en-US" sz="900" i="1" kern="1200">
                            <a:solidFill>
                              <a:schemeClr val="tx1"/>
                            </a:solidFill>
                            <a:effectLst/>
                            <a:latin typeface="Cambria Math" panose="02040503050406030204" pitchFamily="18" charset="0"/>
                            <a:ea typeface="+mn-ea"/>
                            <a:cs typeface="+mn-cs"/>
                          </a:rPr>
                        </m:ctrlPr>
                      </m:fPr>
                      <m:num>
                        <m:d>
                          <m:dPr>
                            <m:begChr m:val="|"/>
                            <m:endChr m:val="|"/>
                            <m:ctrlPr>
                              <a:rPr lang="en-US" sz="900" i="1" kern="1200">
                                <a:solidFill>
                                  <a:schemeClr val="tx1"/>
                                </a:solidFill>
                                <a:effectLst/>
                                <a:latin typeface="Cambria Math" panose="02040503050406030204" pitchFamily="18" charset="0"/>
                                <a:ea typeface="+mn-ea"/>
                                <a:cs typeface="+mn-cs"/>
                              </a:rPr>
                            </m:ctrlPr>
                          </m:dPr>
                          <m:e>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𝐹</m:t>
                                </m:r>
                              </m:sub>
                            </m:sSub>
                            <m:r>
                              <a:rPr lang="en-CA" sz="900" b="0" i="1" kern="1200">
                                <a:solidFill>
                                  <a:schemeClr val="tx1"/>
                                </a:solidFill>
                                <a:effectLst/>
                                <a:latin typeface="Cambria Math" panose="02040503050406030204" pitchFamily="18" charset="0"/>
                                <a:ea typeface="+mn-ea"/>
                                <a:cs typeface="+mn-cs"/>
                              </a:rPr>
                              <m:t>||</m:t>
                            </m:r>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𝑋</m:t>
                                </m:r>
                              </m:e>
                              <m:sub>
                                <m:r>
                                  <a:rPr lang="en-CA" sz="900" b="0" i="1" kern="1200">
                                    <a:solidFill>
                                      <a:schemeClr val="tx1"/>
                                    </a:solidFill>
                                    <a:effectLst/>
                                    <a:latin typeface="Cambria Math" panose="02040503050406030204" pitchFamily="18" charset="0"/>
                                    <a:ea typeface="+mn-ea"/>
                                    <a:cs typeface="+mn-cs"/>
                                  </a:rPr>
                                  <m:t>𝐶</m:t>
                                </m:r>
                              </m:sub>
                            </m:sSub>
                          </m:e>
                        </m:d>
                      </m:num>
                      <m:den>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=1+</m:t>
                    </m:r>
                    <m:f>
                      <m:fPr>
                        <m:ctrlPr>
                          <a:rPr lang="en-CA" sz="900" b="0" i="1" kern="1200">
                            <a:solidFill>
                              <a:schemeClr val="tx1"/>
                            </a:solidFill>
                            <a:effectLst/>
                            <a:latin typeface="Cambria Math" panose="02040503050406030204" pitchFamily="18" charset="0"/>
                            <a:ea typeface="+mn-ea"/>
                            <a:cs typeface="+mn-cs"/>
                          </a:rPr>
                        </m:ctrlPr>
                      </m:fPr>
                      <m:num>
                        <m:f>
                          <m:fPr>
                            <m:ctrlPr>
                              <a:rPr lang="en-CA" sz="900" b="0" i="1" kern="1200">
                                <a:solidFill>
                                  <a:schemeClr val="tx1"/>
                                </a:solidFill>
                                <a:effectLst/>
                                <a:latin typeface="Cambria Math" panose="02040503050406030204" pitchFamily="18" charset="0"/>
                                <a:ea typeface="+mn-ea"/>
                                <a:cs typeface="+mn-cs"/>
                              </a:rPr>
                            </m:ctrlPr>
                          </m:fPr>
                          <m:num>
                            <m:r>
                              <a:rPr lang="en-CA" sz="900" b="0" i="1" kern="1200">
                                <a:solidFill>
                                  <a:schemeClr val="tx1"/>
                                </a:solidFill>
                                <a:effectLst/>
                                <a:latin typeface="Cambria Math" panose="02040503050406030204" pitchFamily="18" charset="0"/>
                                <a:ea typeface="+mn-ea"/>
                                <a:cs typeface="+mn-cs"/>
                              </a:rPr>
                              <m:t>1</m:t>
                            </m:r>
                          </m:num>
                          <m:den>
                            <m:rad>
                              <m:radPr>
                                <m:degHide m:val="on"/>
                                <m:ctrlPr>
                                  <a:rPr lang="en-CA" sz="900" b="0" i="1" kern="120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𝑋</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r>
                                  <a:rPr lang="en-CA" sz="900" b="0" i="1" kern="1200">
                                    <a:solidFill>
                                      <a:schemeClr val="tx1"/>
                                    </a:solidFill>
                                    <a:effectLst/>
                                    <a:latin typeface="Cambria Math" panose="02040503050406030204" pitchFamily="18" charset="0"/>
                                    <a:ea typeface="+mn-ea"/>
                                    <a:cs typeface="+mn-cs"/>
                                  </a:rPr>
                                  <m:t>+</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num>
                      <m:den>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r>
                                              <a:rPr lang="en-CA" sz="120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05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05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05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05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den>
                        </m:f>
                      </m:e>
                    </m:d>
                  </m:oMath>
                </m:oMathPara>
              </a14:m>
              <a:endParaRPr lang="en-CA" sz="1100">
                <a:effectLst/>
              </a:endParaRPr>
            </a:p>
            <a:p>
              <a:endParaRPr lang="en-CA" sz="120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r>
                <a:rPr lang="en-CA" sz="1050">
                  <a:effectLst/>
                </a:rPr>
                <a:t>Multiply top and bottom</a:t>
              </a:r>
              <a:r>
                <a:rPr lang="en-CA" sz="1050" baseline="0">
                  <a:effectLst/>
                </a:rPr>
                <a:t> by </a:t>
              </a:r>
              <a14:m>
                <m:oMath xmlns:m="http://schemas.openxmlformats.org/officeDocument/2006/math">
                  <m:f>
                    <m:fPr>
                      <m:type m:val="skw"/>
                      <m:ctrlPr>
                        <a:rPr lang="en-CA" sz="1050" i="1" baseline="0">
                          <a:effectLst/>
                          <a:latin typeface="Cambria Math" panose="02040503050406030204" pitchFamily="18" charset="0"/>
                        </a:rPr>
                      </m:ctrlPr>
                    </m:fPr>
                    <m:num>
                      <m:sSub>
                        <m:sSubPr>
                          <m:ctrlPr>
                            <a:rPr lang="en-CA" sz="1050" i="1" baseline="0">
                              <a:effectLst/>
                              <a:latin typeface="Cambria Math" panose="02040503050406030204" pitchFamily="18" charset="0"/>
                            </a:rPr>
                          </m:ctrlPr>
                        </m:sSubPr>
                        <m:e>
                          <m:r>
                            <a:rPr lang="en-CA" sz="1050" b="0" i="1" baseline="0">
                              <a:effectLst/>
                              <a:latin typeface="Cambria Math" panose="02040503050406030204" pitchFamily="18" charset="0"/>
                            </a:rPr>
                            <m:t>𝑅</m:t>
                          </m:r>
                        </m:e>
                        <m:sub>
                          <m:r>
                            <a:rPr lang="en-CA" sz="1050" b="0" i="1" baseline="0">
                              <a:effectLst/>
                              <a:latin typeface="Cambria Math" panose="02040503050406030204" pitchFamily="18" charset="0"/>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i="1" baseline="0">
                      <a:effectLst/>
                      <a:latin typeface="Cambria Math" panose="02040503050406030204" pitchFamily="18" charset="0"/>
                    </a:rPr>
                    <m:t>:</m:t>
                  </m:r>
                </m:oMath>
              </a14:m>
              <a:endParaRPr lang="en-CA" sz="105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0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050" b="0" i="1" kern="1200" baseline="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e>
                            </m:rad>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80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800" b="0">
                <a:solidFill>
                  <a:schemeClr val="tx1"/>
                </a:solidFill>
              </a:endParaRPr>
            </a:p>
            <a:p>
              <a14:m>
                <m:oMath xmlns:m="http://schemas.openxmlformats.org/officeDocument/2006/math">
                  <m:sSub>
                    <m:sSubPr>
                      <m:ctrlPr>
                        <a:rPr lang="en-US" sz="1100" b="0" i="1">
                          <a:solidFill>
                            <a:schemeClr val="tx1"/>
                          </a:solidFill>
                          <a:latin typeface="Cambria Math" panose="02040503050406030204" pitchFamily="18" charset="0"/>
                        </a:rPr>
                      </m:ctrlPr>
                    </m:sSubPr>
                    <m:e>
                      <m:r>
                        <a:rPr lang="en-CA" sz="1100" b="0" i="1">
                          <a:solidFill>
                            <a:schemeClr val="tx1"/>
                          </a:solidFill>
                          <a:latin typeface="Cambria Math" panose="02040503050406030204" pitchFamily="18" charset="0"/>
                        </a:rPr>
                        <m:t>𝑓</m:t>
                      </m:r>
                    </m:e>
                    <m:sub>
                      <m:r>
                        <a:rPr lang="en-CA" sz="1100" b="0" i="1">
                          <a:solidFill>
                            <a:schemeClr val="tx1"/>
                          </a:solidFill>
                          <a:latin typeface="Cambria Math" panose="02040503050406030204" pitchFamily="18" charset="0"/>
                        </a:rPr>
                        <m:t>𝑐</m:t>
                      </m:r>
                    </m:sub>
                  </m:sSub>
                  <m:r>
                    <a:rPr lang="en-CA" sz="1100" b="0" i="1">
                      <a:solidFill>
                        <a:schemeClr val="tx1"/>
                      </a:solidFill>
                      <a:latin typeface="Cambria Math" panose="02040503050406030204" pitchFamily="18" charset="0"/>
                    </a:rPr>
                    <m:t>=</m:t>
                  </m:r>
                  <m:f>
                    <m:fPr>
                      <m:ctrlPr>
                        <a:rPr lang="en-CA" sz="1100" b="0" i="1">
                          <a:solidFill>
                            <a:schemeClr val="tx1"/>
                          </a:solidFill>
                          <a:latin typeface="Cambria Math" panose="02040503050406030204" pitchFamily="18" charset="0"/>
                        </a:rPr>
                      </m:ctrlPr>
                    </m:fPr>
                    <m:num>
                      <m:r>
                        <a:rPr lang="en-CA" sz="1100" b="0" i="1">
                          <a:solidFill>
                            <a:schemeClr val="tx1"/>
                          </a:solidFill>
                          <a:latin typeface="Cambria Math" panose="02040503050406030204" pitchFamily="18" charset="0"/>
                        </a:rPr>
                        <m:t>1</m:t>
                      </m:r>
                    </m:num>
                    <m:den>
                      <m:r>
                        <a:rPr lang="en-CA" sz="1100" b="0" i="1">
                          <a:solidFill>
                            <a:schemeClr val="tx1"/>
                          </a:solidFill>
                          <a:latin typeface="Cambria Math" panose="02040503050406030204" pitchFamily="18" charset="0"/>
                        </a:rPr>
                        <m:t>2</m:t>
                      </m:r>
                      <m:r>
                        <a:rPr lang="en-CA" sz="1100" b="0" i="1">
                          <a:solidFill>
                            <a:schemeClr val="tx1"/>
                          </a:solidFill>
                          <a:latin typeface="Cambria Math" panose="02040503050406030204" pitchFamily="18" charset="0"/>
                          <a:ea typeface="Cambria Math" panose="02040503050406030204" pitchFamily="18" charset="0"/>
                        </a:rPr>
                        <m:t>𝜋</m:t>
                      </m:r>
                      <m:sSub>
                        <m:sSubPr>
                          <m:ctrlPr>
                            <a:rPr lang="en-CA" sz="1100" b="0" i="1">
                              <a:solidFill>
                                <a:schemeClr val="tx1"/>
                              </a:solidFill>
                              <a:latin typeface="Cambria Math" panose="02040503050406030204" pitchFamily="18" charset="0"/>
                              <a:ea typeface="Cambria Math" panose="02040503050406030204" pitchFamily="18" charset="0"/>
                            </a:rPr>
                          </m:ctrlPr>
                        </m:sSubPr>
                        <m:e>
                          <m:r>
                            <a:rPr lang="en-CA" sz="1100" b="0" i="1">
                              <a:solidFill>
                                <a:schemeClr val="tx1"/>
                              </a:solidFill>
                              <a:latin typeface="Cambria Math" panose="02040503050406030204" pitchFamily="18" charset="0"/>
                              <a:ea typeface="Cambria Math" panose="02040503050406030204" pitchFamily="18" charset="0"/>
                            </a:rPr>
                            <m:t>𝑅</m:t>
                          </m:r>
                        </m:e>
                        <m:sub>
                          <m:r>
                            <a:rPr lang="en-CA" sz="1100" b="0" i="1">
                              <a:solidFill>
                                <a:schemeClr val="tx1"/>
                              </a:solidFill>
                              <a:latin typeface="Cambria Math" panose="02040503050406030204" pitchFamily="18" charset="0"/>
                              <a:ea typeface="Cambria Math" panose="02040503050406030204" pitchFamily="18" charset="0"/>
                            </a:rPr>
                            <m:t>𝐹</m:t>
                          </m:r>
                        </m:sub>
                      </m:sSub>
                      <m:r>
                        <a:rPr lang="en-CA" sz="1100" b="0" i="1">
                          <a:solidFill>
                            <a:schemeClr val="tx1"/>
                          </a:solidFill>
                          <a:latin typeface="Cambria Math" panose="02040503050406030204" pitchFamily="18" charset="0"/>
                          <a:ea typeface="Cambria Math" panose="02040503050406030204" pitchFamily="18" charset="0"/>
                        </a:rPr>
                        <m:t>𝐶</m:t>
                      </m:r>
                    </m:den>
                  </m:f>
                  <m:r>
                    <a:rPr lang="en-CA" sz="1100" b="0" i="1">
                      <a:solidFill>
                        <a:schemeClr val="tx1"/>
                      </a:solidFill>
                      <a:latin typeface="Cambria Math" panose="02040503050406030204" pitchFamily="18" charset="0"/>
                    </a:rPr>
                    <m:t>→</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200" b="0" i="1" kern="1200">
                      <a:solidFill>
                        <a:schemeClr val="tx1"/>
                      </a:solidFill>
                      <a:effectLst/>
                      <a:latin typeface="Cambria Math" panose="02040503050406030204" pitchFamily="18" charset="0"/>
                      <a:ea typeface="+mn-ea"/>
                      <a:cs typeface="+mn-cs"/>
                    </a:rPr>
                    <m:t>𝐶</m:t>
                  </m:r>
                </m:oMath>
              </a14:m>
              <a:r>
                <a:rPr lang="en-CA" sz="1100" b="0">
                  <a:solidFill>
                    <a:schemeClr val="tx1"/>
                  </a:solidFill>
                </a:rPr>
                <a:t>=</a:t>
              </a:r>
              <a14:m>
                <m:oMath xmlns:m="http://schemas.openxmlformats.org/officeDocument/2006/math">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oMath>
              </a14:m>
              <a:endParaRPr lang="en-CA" sz="1100" b="0">
                <a:solidFill>
                  <a:schemeClr val="tx1"/>
                </a:solidFill>
              </a:endParaRPr>
            </a:p>
            <a:p>
              <a:pPr/>
              <a14:m>
                <m:oMathPara xmlns:m="http://schemas.openxmlformats.org/officeDocument/2006/math">
                  <m:oMathParaPr>
                    <m:jc m:val="left"/>
                  </m:oMathParaPr>
                  <m:oMath xmlns:m="http://schemas.openxmlformats.org/officeDocument/2006/math">
                    <m:r>
                      <a:rPr lang="en-CA" sz="1050" b="0" i="1" kern="1200">
                        <a:solidFill>
                          <a:schemeClr val="tx1"/>
                        </a:solidFill>
                        <a:effectLst/>
                        <a:latin typeface="Cambria Math" panose="02040503050406030204" pitchFamily="18" charset="0"/>
                        <a:ea typeface="+mn-ea"/>
                        <a:cs typeface="+mn-cs"/>
                      </a:rPr>
                      <m:t>→</m:t>
                    </m:r>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𝑓</m:t>
                                            </m:r>
                                          </m:num>
                                          <m:den>
                                            <m:sSub>
                                              <m:sSubPr>
                                                <m:ctrlPr>
                                                  <a:rPr lang="en-US" sz="105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𝑓</m:t>
                                                </m:r>
                                              </m:e>
                                              <m:sub>
                                                <m:r>
                                                  <a:rPr lang="en-CA" sz="1050" b="0" i="1" kern="1200">
                                                    <a:solidFill>
                                                      <a:schemeClr val="tx1"/>
                                                    </a:solidFill>
                                                    <a:effectLst/>
                                                    <a:latin typeface="Cambria Math" panose="02040503050406030204" pitchFamily="18" charset="0"/>
                                                    <a:ea typeface="+mn-ea"/>
                                                    <a:cs typeface="+mn-cs"/>
                                                  </a:rPr>
                                                  <m:t>𝑐</m:t>
                                                </m:r>
                                              </m:sub>
                                            </m:sSub>
                                          </m:den>
                                        </m:f>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1000" b="0">
                <a:solidFill>
                  <a:schemeClr val="tx1"/>
                </a:solidFill>
              </a:endParaRPr>
            </a:p>
          </xdr:txBody>
        </xdr:sp>
      </mc:Choice>
      <mc:Fallback xmlns="">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900" i="0" kern="1200">
                  <a:solidFill>
                    <a:schemeClr val="tx1"/>
                  </a:solidFill>
                  <a:effectLst/>
                  <a:latin typeface="Cambria Math" panose="02040503050406030204" pitchFamily="18" charset="0"/>
                  <a:ea typeface="+mn-ea"/>
                  <a:cs typeface="+mn-cs"/>
                </a:rPr>
                <a:t>𝐴_𝑣=𝑉_𝑜𝑢𝑡/𝑉_𝑖𝑛 =</a:t>
              </a:r>
              <a:r>
                <a:rPr lang="en-CA" sz="900" b="0" i="0" kern="1200">
                  <a:solidFill>
                    <a:schemeClr val="tx1"/>
                  </a:solidFill>
                  <a:effectLst/>
                  <a:latin typeface="Cambria Math" panose="02040503050406030204" pitchFamily="18" charset="0"/>
                  <a:ea typeface="+mn-ea"/>
                  <a:cs typeface="+mn-cs"/>
                </a:rPr>
                <a:t>1+</a:t>
              </a:r>
              <a:r>
                <a:rPr lang="en-US" sz="90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𝐹 ||𝑋_𝐶 |</a:t>
              </a:r>
              <a:r>
                <a:rPr lang="en-US" sz="900" b="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1 =1+(1/√(</a:t>
              </a:r>
              <a:r>
                <a:rPr lang="en-CA" sz="1200" b="0" i="0" kern="1200">
                  <a:solidFill>
                    <a:schemeClr val="tx1"/>
                  </a:solidFill>
                  <a:effectLst/>
                  <a:latin typeface="Cambria Math" panose="02040503050406030204" pitchFamily="18" charset="0"/>
                  <a:ea typeface="+mn-ea"/>
                  <a:cs typeface="+mn-cs"/>
                </a:rPr>
                <a:t>(1/𝑋_𝑐 )^2</a:t>
              </a:r>
              <a:r>
                <a:rPr lang="en-CA" sz="9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(1/𝑅_𝐹 )^2 </a:t>
              </a:r>
              <a:r>
                <a:rPr lang="en-CA" sz="900" b="0" i="0" kern="1200">
                  <a:solidFill>
                    <a:schemeClr val="tx1"/>
                  </a:solidFill>
                  <a:effectLst/>
                  <a:latin typeface="Cambria Math" panose="02040503050406030204" pitchFamily="18" charset="0"/>
                  <a:ea typeface="+mn-ea"/>
                  <a:cs typeface="+mn-cs"/>
                </a:rPr>
                <a:t>))/𝑅_1 =</a:t>
              </a:r>
              <a:r>
                <a:rPr lang="en-US" sz="105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05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endParaRPr lang="en-CA" sz="1100">
                <a:effectLst/>
              </a:endParaRPr>
            </a:p>
            <a:p>
              <a:endParaRPr lang="en-CA" sz="120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1+1</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r>
                <a:rPr lang="en-CA" sz="1050">
                  <a:effectLst/>
                </a:rPr>
                <a:t>Multiply top and bottom</a:t>
              </a:r>
              <a:r>
                <a:rPr lang="en-CA" sz="1050" baseline="0">
                  <a:effectLst/>
                </a:rPr>
                <a:t> by </a:t>
              </a:r>
              <a:r>
                <a:rPr lang="en-CA" sz="1050" b="0" i="0" baseline="0">
                  <a:effectLst/>
                  <a:latin typeface="Cambria Math" panose="02040503050406030204" pitchFamily="18" charset="0"/>
                </a:rPr>
                <a:t>𝑅_𝐹⁄</a:t>
              </a:r>
              <a:r>
                <a:rPr lang="en-CA" sz="1050" b="0" i="0" kern="1200" baseline="0">
                  <a:solidFill>
                    <a:schemeClr val="tx1"/>
                  </a:solidFill>
                  <a:effectLst/>
                  <a:latin typeface="Cambria Math" panose="02040503050406030204" pitchFamily="18" charset="0"/>
                  <a:ea typeface="+mn-ea"/>
                  <a:cs typeface="+mn-cs"/>
                </a:rPr>
                <a:t>𝑅_1 </a:t>
              </a:r>
              <a:r>
                <a:rPr lang="en-CA" sz="1050" i="0" baseline="0">
                  <a:effectLst/>
                  <a:latin typeface="Cambria Math" panose="02040503050406030204" pitchFamily="18" charset="0"/>
                </a:rPr>
                <a:t>:</a:t>
              </a:r>
              <a:endParaRPr lang="en-CA" sz="105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CA" sz="105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050" b="0" i="0" kern="1200" baseline="0">
                  <a:solidFill>
                    <a:schemeClr val="tx1"/>
                  </a:solidFill>
                  <a:effectLst/>
                  <a:latin typeface="Cambria Math" panose="02040503050406030204" pitchFamily="18" charset="0"/>
                  <a:ea typeface="+mn-ea"/>
                  <a:cs typeface="+mn-cs"/>
                </a:rPr>
                <a:t>𝑅_1</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𝑅_𝐹</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𝑅_𝐹〗^2 </a:t>
              </a:r>
              <a:r>
                <a:rPr lang="en-CA" sz="1050" b="0" i="0" kern="1200" baseline="0">
                  <a:solidFill>
                    <a:schemeClr val="tx1"/>
                  </a:solidFill>
                  <a:effectLst/>
                  <a:latin typeface="Cambria Math" panose="02040503050406030204" pitchFamily="18" charset="0"/>
                  <a:ea typeface="+mn-ea"/>
                  <a:cs typeface="+mn-cs"/>
                </a:rPr>
                <a:t>)</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a:t>
              </a:r>
              <a:r>
                <a:rPr lang="en-CA" sz="1200" b="0" i="0" kern="1200">
                  <a:solidFill>
                    <a:schemeClr val="tx1"/>
                  </a:solidFill>
                  <a:effectLst/>
                  <a:latin typeface="Cambria Math" panose="02040503050406030204" pitchFamily="18" charset="0"/>
                  <a:ea typeface="+mn-ea"/>
                  <a:cs typeface="+mn-cs"/>
                </a:rPr>
                <a:t>𝑅_𝐹</a:t>
              </a:r>
              <a:r>
                <a:rPr lang="en-CA" sz="1050" b="0" i="0" kern="1200">
                  <a:solidFill>
                    <a:schemeClr val="tx1"/>
                  </a:solidFill>
                  <a:effectLst/>
                  <a:latin typeface="Cambria Math" panose="02040503050406030204" pitchFamily="18" charset="0"/>
                  <a:ea typeface="+mn-ea"/>
                  <a:cs typeface="+mn-cs"/>
                </a:rPr>
                <a:t>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200" b="0" i="0" kern="1200">
                  <a:solidFill>
                    <a:schemeClr val="tx1"/>
                  </a:solidFill>
                  <a:effectLst/>
                  <a:latin typeface="Cambria Math" panose="02040503050406030204" pitchFamily="18" charset="0"/>
                  <a:ea typeface="+mn-ea"/>
                  <a:cs typeface="+mn-cs"/>
                </a:rPr>
                <a:t>〖𝑅_𝐹〗^2</a:t>
              </a:r>
              <a:r>
                <a:rPr lang="en-CA" sz="1050" b="0" i="0" kern="1200">
                  <a:solidFill>
                    <a:schemeClr val="tx1"/>
                  </a:solidFill>
                  <a:effectLst/>
                  <a:latin typeface="Cambria Math" panose="02040503050406030204" pitchFamily="18" charset="0"/>
                  <a:ea typeface="+mn-ea"/>
                  <a:cs typeface="+mn-cs"/>
                </a:rPr>
                <a:t>/〖𝑅_𝐹〗^2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80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2𝜋𝑓𝑅_𝐹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r>
                <a:rPr lang="en-CA" sz="1100" b="0" i="0">
                  <a:solidFill>
                    <a:schemeClr val="tx1"/>
                  </a:solidFill>
                  <a:latin typeface="Cambria Math" panose="02040503050406030204" pitchFamily="18" charset="0"/>
                </a:rPr>
                <a:t>𝑓</a:t>
              </a:r>
              <a:r>
                <a:rPr lang="en-US" sz="1100" b="0" i="0">
                  <a:solidFill>
                    <a:schemeClr val="tx1"/>
                  </a:solidFill>
                  <a:latin typeface="Cambria Math" panose="02040503050406030204" pitchFamily="18" charset="0"/>
                </a:rPr>
                <a:t>_</a:t>
              </a:r>
              <a:r>
                <a:rPr lang="en-CA" sz="1100" b="0" i="0">
                  <a:solidFill>
                    <a:schemeClr val="tx1"/>
                  </a:solidFill>
                  <a:latin typeface="Cambria Math" panose="02040503050406030204" pitchFamily="18" charset="0"/>
                </a:rPr>
                <a:t>𝑐=1/(2</a:t>
              </a:r>
              <a:r>
                <a:rPr lang="en-CA" sz="1100" b="0" i="0">
                  <a:solidFill>
                    <a:schemeClr val="tx1"/>
                  </a:solidFill>
                  <a:latin typeface="Cambria Math" panose="02040503050406030204" pitchFamily="18" charset="0"/>
                  <a:ea typeface="Cambria Math" panose="02040503050406030204" pitchFamily="18" charset="0"/>
                </a:rPr>
                <a:t>𝜋𝑅_𝐹 𝐶)</a:t>
              </a:r>
              <a:r>
                <a:rPr lang="en-CA" sz="1100" b="0" i="0">
                  <a:solidFill>
                    <a:schemeClr val="tx1"/>
                  </a:solidFill>
                  <a:latin typeface="Cambria Math" panose="02040503050406030204" pitchFamily="18" charset="0"/>
                </a:rPr>
                <a:t>→</a:t>
              </a:r>
              <a:r>
                <a:rPr lang="en-CA" sz="1200" b="0" i="0" kern="1200">
                  <a:solidFill>
                    <a:schemeClr val="tx1"/>
                  </a:solidFill>
                  <a:effectLst/>
                  <a:latin typeface="Cambria Math" panose="02040503050406030204" pitchFamily="18" charset="0"/>
                  <a:ea typeface="+mn-ea"/>
                  <a:cs typeface="+mn-cs"/>
                </a:rPr>
                <a:t>𝑅_𝐹 𝐶</a:t>
              </a:r>
              <a:r>
                <a:rPr lang="en-CA" sz="1100" b="0">
                  <a:solidFill>
                    <a:schemeClr val="tx1"/>
                  </a:solidFill>
                </a:rPr>
                <a:t>=</a:t>
              </a:r>
              <a:r>
                <a:rPr lang="en-CA" sz="1200" b="0" i="0" kern="1200">
                  <a:solidFill>
                    <a:schemeClr val="tx1"/>
                  </a:solidFill>
                  <a:effectLst/>
                  <a:latin typeface="Cambria Math" panose="02040503050406030204" pitchFamily="18" charset="0"/>
                  <a:ea typeface="+mn-ea"/>
                  <a:cs typeface="+mn-cs"/>
                </a:rPr>
                <a:t>1/(2𝜋𝑓_𝑐 )</a:t>
              </a:r>
              <a:endParaRPr lang="en-CA" sz="1100" b="0">
                <a:solidFill>
                  <a:schemeClr val="tx1"/>
                </a:solidFill>
              </a:endParaRPr>
            </a:p>
            <a:p>
              <a:pPr/>
              <a:r>
                <a:rPr lang="en-CA"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_</a:t>
              </a:r>
              <a:r>
                <a:rPr lang="en-CA" sz="1050" b="0" i="0" kern="1200">
                  <a:solidFill>
                    <a:schemeClr val="tx1"/>
                  </a:solidFill>
                  <a:effectLst/>
                  <a:latin typeface="Cambria Math" panose="02040503050406030204" pitchFamily="18" charset="0"/>
                  <a:ea typeface="+mn-ea"/>
                  <a:cs typeface="+mn-cs"/>
                </a:rPr>
                <a:t>𝑐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xdr:txBody>
        </xdr:sp>
      </mc:Fallback>
    </mc:AlternateContent>
    <xdr:clientData/>
  </xdr:twoCellAnchor>
  <xdr:twoCellAnchor editAs="oneCell">
    <xdr:from>
      <xdr:col>6</xdr:col>
      <xdr:colOff>323850</xdr:colOff>
      <xdr:row>61</xdr:row>
      <xdr:rowOff>133350</xdr:rowOff>
    </xdr:from>
    <xdr:to>
      <xdr:col>12</xdr:col>
      <xdr:colOff>447675</xdr:colOff>
      <xdr:row>66</xdr:row>
      <xdr:rowOff>47625</xdr:rowOff>
    </xdr:to>
    <xdr:pic>
      <xdr:nvPicPr>
        <xdr:cNvPr id="11" name="Picture 10">
          <a:extLst>
            <a:ext uri="{FF2B5EF4-FFF2-40B4-BE49-F238E27FC236}">
              <a16:creationId xmlns:a16="http://schemas.microsoft.com/office/drawing/2014/main" id="{8B06B70F-CD5D-4FD7-BF32-4933831497F8}"/>
            </a:ext>
          </a:extLst>
        </xdr:cNvPr>
        <xdr:cNvPicPr>
          <a:picLocks noChangeAspect="1"/>
        </xdr:cNvPicPr>
      </xdr:nvPicPr>
      <xdr:blipFill rotWithShape="1">
        <a:blip xmlns:r="http://schemas.openxmlformats.org/officeDocument/2006/relationships" r:embed="rId5"/>
        <a:srcRect l="26094" t="74989" r="23913" b="6666"/>
        <a:stretch/>
      </xdr:blipFill>
      <xdr:spPr>
        <a:xfrm>
          <a:off x="3895725" y="12258675"/>
          <a:ext cx="3905250" cy="866775"/>
        </a:xfrm>
        <a:prstGeom prst="rect">
          <a:avLst/>
        </a:prstGeom>
      </xdr:spPr>
    </xdr:pic>
    <xdr:clientData/>
  </xdr:twoCellAnchor>
  <xdr:twoCellAnchor editAs="oneCell">
    <xdr:from>
      <xdr:col>22</xdr:col>
      <xdr:colOff>123265</xdr:colOff>
      <xdr:row>68</xdr:row>
      <xdr:rowOff>56029</xdr:rowOff>
    </xdr:from>
    <xdr:to>
      <xdr:col>30</xdr:col>
      <xdr:colOff>93120</xdr:colOff>
      <xdr:row>83</xdr:row>
      <xdr:rowOff>37375</xdr:rowOff>
    </xdr:to>
    <xdr:pic>
      <xdr:nvPicPr>
        <xdr:cNvPr id="8" name="Picture 7">
          <a:extLst>
            <a:ext uri="{FF2B5EF4-FFF2-40B4-BE49-F238E27FC236}">
              <a16:creationId xmlns:a16="http://schemas.microsoft.com/office/drawing/2014/main" id="{9692A931-F52C-4B20-B74F-76982B7EACDA}"/>
            </a:ext>
          </a:extLst>
        </xdr:cNvPr>
        <xdr:cNvPicPr>
          <a:picLocks noChangeAspect="1"/>
        </xdr:cNvPicPr>
      </xdr:nvPicPr>
      <xdr:blipFill>
        <a:blip xmlns:r="http://schemas.openxmlformats.org/officeDocument/2006/relationships" r:embed="rId6"/>
        <a:stretch>
          <a:fillRect/>
        </a:stretch>
      </xdr:blipFill>
      <xdr:spPr>
        <a:xfrm>
          <a:off x="13491883" y="13536705"/>
          <a:ext cx="4810796" cy="2838846"/>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3D399B78-1057-48F3-9F1C-274CA26305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35719</xdr:colOff>
      <xdr:row>46</xdr:row>
      <xdr:rowOff>27383</xdr:rowOff>
    </xdr:from>
    <xdr:to>
      <xdr:col>14</xdr:col>
      <xdr:colOff>242093</xdr:colOff>
      <xdr:row>60</xdr:row>
      <xdr:rowOff>131364</xdr:rowOff>
    </xdr:to>
    <xdr:graphicFrame macro="">
      <xdr:nvGraphicFramePr>
        <xdr:cNvPr id="3" name="Chart 2">
          <a:extLst>
            <a:ext uri="{FF2B5EF4-FFF2-40B4-BE49-F238E27FC236}">
              <a16:creationId xmlns:a16="http://schemas.microsoft.com/office/drawing/2014/main" id="{347DF72F-D32A-45A2-8EB4-9063457F4C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402012</xdr:colOff>
      <xdr:row>10</xdr:row>
      <xdr:rowOff>173809</xdr:rowOff>
    </xdr:from>
    <xdr:to>
      <xdr:col>18</xdr:col>
      <xdr:colOff>550841</xdr:colOff>
      <xdr:row>27</xdr:row>
      <xdr:rowOff>174432</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b="1"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(𝑅_1/√(〖𝑅_1〗^2+〖𝑋_𝐶〗^2 ))(1+𝑅_𝐹/𝑅_𝑏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390501</xdr:colOff>
      <xdr:row>1</xdr:row>
      <xdr:rowOff>29765</xdr:rowOff>
    </xdr:from>
    <xdr:to>
      <xdr:col>18</xdr:col>
      <xdr:colOff>336408</xdr:colOff>
      <xdr:row>10</xdr:row>
      <xdr:rowOff>50893</xdr:rowOff>
    </xdr:to>
    <xdr:pic>
      <xdr:nvPicPr>
        <xdr:cNvPr id="7" name="Picture 6">
          <a:extLst>
            <a:ext uri="{FF2B5EF4-FFF2-40B4-BE49-F238E27FC236}">
              <a16:creationId xmlns:a16="http://schemas.microsoft.com/office/drawing/2014/main" id="{81165EEB-1420-444D-91B3-18CAD089714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7976883" y="634883"/>
          <a:ext cx="3576613" cy="1825275"/>
        </a:xfrm>
        <a:prstGeom prst="rect">
          <a:avLst/>
        </a:prstGeom>
      </xdr:spPr>
    </xdr:pic>
    <xdr:clientData/>
  </xdr:twoCellAnchor>
  <xdr:twoCellAnchor>
    <xdr:from>
      <xdr:col>14</xdr:col>
      <xdr:colOff>238125</xdr:colOff>
      <xdr:row>0</xdr:row>
      <xdr:rowOff>575468</xdr:rowOff>
    </xdr:from>
    <xdr:to>
      <xdr:col>15</xdr:col>
      <xdr:colOff>426640</xdr:colOff>
      <xdr:row>6</xdr:row>
      <xdr:rowOff>9921</xdr:rowOff>
    </xdr:to>
    <xdr:sp macro="" textlink="">
      <xdr:nvSpPr>
        <xdr:cNvPr id="14" name="Rectangle: Rounded Corners 13">
          <a:extLst>
            <a:ext uri="{FF2B5EF4-FFF2-40B4-BE49-F238E27FC236}">
              <a16:creationId xmlns:a16="http://schemas.microsoft.com/office/drawing/2014/main" id="{7BCB0300-0465-4AF4-83D5-B5FCFCF8BD51}"/>
            </a:ext>
          </a:extLst>
        </xdr:cNvPr>
        <xdr:cNvSpPr/>
      </xdr:nvSpPr>
      <xdr:spPr>
        <a:xfrm>
          <a:off x="9306719" y="575468"/>
          <a:ext cx="793749" cy="1021953"/>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editAs="oneCell">
    <xdr:from>
      <xdr:col>24</xdr:col>
      <xdr:colOff>0</xdr:colOff>
      <xdr:row>0</xdr:row>
      <xdr:rowOff>0</xdr:rowOff>
    </xdr:from>
    <xdr:to>
      <xdr:col>24</xdr:col>
      <xdr:colOff>304800</xdr:colOff>
      <xdr:row>0</xdr:row>
      <xdr:rowOff>304800</xdr:rowOff>
    </xdr:to>
    <xdr:sp macro="" textlink="">
      <xdr:nvSpPr>
        <xdr:cNvPr id="18433" name="AutoShape 1">
          <a:extLst>
            <a:ext uri="{FF2B5EF4-FFF2-40B4-BE49-F238E27FC236}">
              <a16:creationId xmlns:a16="http://schemas.microsoft.com/office/drawing/2014/main" id="{F8FA2801-7140-CEEA-1772-93BB74F7BCF8}"/>
            </a:ext>
          </a:extLst>
        </xdr:cNvPr>
        <xdr:cNvSpPr>
          <a:spLocks noChangeAspect="1" noChangeArrowheads="1"/>
        </xdr:cNvSpPr>
      </xdr:nvSpPr>
      <xdr:spPr bwMode="auto">
        <a:xfrm>
          <a:off x="1520190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19</xdr:col>
      <xdr:colOff>342901</xdr:colOff>
      <xdr:row>0</xdr:row>
      <xdr:rowOff>523875</xdr:rowOff>
    </xdr:from>
    <xdr:to>
      <xdr:col>26</xdr:col>
      <xdr:colOff>500062</xdr:colOff>
      <xdr:row>43</xdr:row>
      <xdr:rowOff>166981</xdr:rowOff>
    </xdr:to>
    <xdr:pic>
      <xdr:nvPicPr>
        <xdr:cNvPr id="4" name="Picture 3">
          <a:extLst>
            <a:ext uri="{FF2B5EF4-FFF2-40B4-BE49-F238E27FC236}">
              <a16:creationId xmlns:a16="http://schemas.microsoft.com/office/drawing/2014/main" id="{1A164C4E-A907-1A14-46BA-F22AF4851E2E}"/>
            </a:ext>
          </a:extLst>
        </xdr:cNvPr>
        <xdr:cNvPicPr>
          <a:picLocks noChangeAspect="1"/>
        </xdr:cNvPicPr>
      </xdr:nvPicPr>
      <xdr:blipFill>
        <a:blip xmlns:r="http://schemas.openxmlformats.org/officeDocument/2006/relationships" r:embed="rId4"/>
        <a:stretch>
          <a:fillRect/>
        </a:stretch>
      </xdr:blipFill>
      <xdr:spPr>
        <a:xfrm>
          <a:off x="12368214" y="523875"/>
          <a:ext cx="4491036" cy="8239419"/>
        </a:xfrm>
        <a:prstGeom prst="rect">
          <a:avLst/>
        </a:prstGeom>
      </xdr:spPr>
    </xdr:pic>
    <xdr:clientData/>
  </xdr:twoCellAnchor>
  <xdr:twoCellAnchor editAs="oneCell">
    <xdr:from>
      <xdr:col>19</xdr:col>
      <xdr:colOff>493059</xdr:colOff>
      <xdr:row>44</xdr:row>
      <xdr:rowOff>22411</xdr:rowOff>
    </xdr:from>
    <xdr:to>
      <xdr:col>28</xdr:col>
      <xdr:colOff>270707</xdr:colOff>
      <xdr:row>61</xdr:row>
      <xdr:rowOff>156881</xdr:rowOff>
    </xdr:to>
    <xdr:pic>
      <xdr:nvPicPr>
        <xdr:cNvPr id="5" name="Picture 4">
          <a:extLst>
            <a:ext uri="{FF2B5EF4-FFF2-40B4-BE49-F238E27FC236}">
              <a16:creationId xmlns:a16="http://schemas.microsoft.com/office/drawing/2014/main" id="{62473CB6-F252-47D4-B3BC-9D1DF059D51A}"/>
            </a:ext>
          </a:extLst>
        </xdr:cNvPr>
        <xdr:cNvPicPr>
          <a:picLocks noChangeAspect="1"/>
        </xdr:cNvPicPr>
      </xdr:nvPicPr>
      <xdr:blipFill>
        <a:blip xmlns:r="http://schemas.openxmlformats.org/officeDocument/2006/relationships" r:embed="rId5"/>
        <a:stretch>
          <a:fillRect/>
        </a:stretch>
      </xdr:blipFill>
      <xdr:spPr>
        <a:xfrm>
          <a:off x="12315265" y="8931087"/>
          <a:ext cx="5223707" cy="3384176"/>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1316E6B4-042F-4907-BEF8-E35ED58644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313531</xdr:colOff>
      <xdr:row>45</xdr:row>
      <xdr:rowOff>166289</xdr:rowOff>
    </xdr:from>
    <xdr:to>
      <xdr:col>13</xdr:col>
      <xdr:colOff>519906</xdr:colOff>
      <xdr:row>60</xdr:row>
      <xdr:rowOff>71833</xdr:rowOff>
    </xdr:to>
    <xdr:graphicFrame macro="">
      <xdr:nvGraphicFramePr>
        <xdr:cNvPr id="3" name="Chart 2">
          <a:extLst>
            <a:ext uri="{FF2B5EF4-FFF2-40B4-BE49-F238E27FC236}">
              <a16:creationId xmlns:a16="http://schemas.microsoft.com/office/drawing/2014/main" id="{A3A36658-6844-42CC-A326-87948F1735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406798</xdr:colOff>
      <xdr:row>0</xdr:row>
      <xdr:rowOff>575469</xdr:rowOff>
    </xdr:from>
    <xdr:to>
      <xdr:col>18</xdr:col>
      <xdr:colOff>435372</xdr:colOff>
      <xdr:row>9</xdr:row>
      <xdr:rowOff>50395</xdr:rowOff>
    </xdr:to>
    <xdr:pic>
      <xdr:nvPicPr>
        <xdr:cNvPr id="12" name="Picture 11">
          <a:extLst>
            <a:ext uri="{FF2B5EF4-FFF2-40B4-BE49-F238E27FC236}">
              <a16:creationId xmlns:a16="http://schemas.microsoft.com/office/drawing/2014/main" id="{1978C6A8-A0B1-4BAE-B8BD-623A1A7BBEE5}"/>
            </a:ext>
          </a:extLst>
        </xdr:cNvPr>
        <xdr:cNvPicPr>
          <a:picLocks noChangeAspect="1"/>
        </xdr:cNvPicPr>
      </xdr:nvPicPr>
      <xdr:blipFill>
        <a:blip xmlns:r="http://schemas.openxmlformats.org/officeDocument/2006/relationships" r:embed="rId3"/>
        <a:stretch>
          <a:fillRect/>
        </a:stretch>
      </xdr:blipFill>
      <xdr:spPr>
        <a:xfrm>
          <a:off x="8264923" y="575469"/>
          <a:ext cx="3659981" cy="1659023"/>
        </a:xfrm>
        <a:prstGeom prst="rect">
          <a:avLst/>
        </a:prstGeom>
      </xdr:spPr>
    </xdr:pic>
    <xdr:clientData/>
  </xdr:twoCellAnchor>
  <xdr:twoCellAnchor>
    <xdr:from>
      <xdr:col>14</xdr:col>
      <xdr:colOff>466330</xdr:colOff>
      <xdr:row>4</xdr:row>
      <xdr:rowOff>6833</xdr:rowOff>
    </xdr:from>
    <xdr:to>
      <xdr:col>16</xdr:col>
      <xdr:colOff>416719</xdr:colOff>
      <xdr:row>7</xdr:row>
      <xdr:rowOff>46520</xdr:rowOff>
    </xdr:to>
    <xdr:sp macro="" textlink="">
      <xdr:nvSpPr>
        <xdr:cNvPr id="13" name="Rectangle: Rounded Corners 12">
          <a:extLst>
            <a:ext uri="{FF2B5EF4-FFF2-40B4-BE49-F238E27FC236}">
              <a16:creationId xmlns:a16="http://schemas.microsoft.com/office/drawing/2014/main" id="{55E52510-732F-447B-9D88-7027C683711D}"/>
            </a:ext>
          </a:extLst>
        </xdr:cNvPr>
        <xdr:cNvSpPr/>
      </xdr:nvSpPr>
      <xdr:spPr>
        <a:xfrm>
          <a:off x="9534924" y="1197458"/>
          <a:ext cx="1160858" cy="635000"/>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17</xdr:col>
      <xdr:colOff>499945</xdr:colOff>
      <xdr:row>9</xdr:row>
      <xdr:rowOff>179294</xdr:rowOff>
    </xdr:from>
    <xdr:to>
      <xdr:col>22</xdr:col>
      <xdr:colOff>112993</xdr:colOff>
      <xdr:row>21</xdr:row>
      <xdr:rowOff>18559</xdr:rowOff>
    </xdr:to>
    <mc:AlternateContent xmlns:mc="http://schemas.openxmlformats.org/markup-compatibility/2006" xmlns:a14="http://schemas.microsoft.com/office/drawing/2010/main">
      <mc:Choice Requires="a14">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1111916" y="2386853"/>
              <a:ext cx="2638636" cy="214767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1111916" y="2386853"/>
              <a:ext cx="2638636" cy="214767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2000">
                <a:effectLst/>
              </a:endParaRPr>
            </a:p>
            <a:p>
              <a:endParaRPr lang="en-CA" sz="2000">
                <a:effectLst/>
              </a:endParaRPr>
            </a:p>
            <a:p>
              <a:endParaRPr lang="en-US" b="0">
                <a:solidFill>
                  <a:schemeClr val="tx1"/>
                </a:solidFill>
              </a:endParaRPr>
            </a:p>
          </xdr:txBody>
        </xdr:sp>
      </mc:Fallback>
    </mc:AlternateContent>
    <xdr:clientData/>
  </xdr:twoCellAnchor>
  <xdr:twoCellAnchor editAs="oneCell">
    <xdr:from>
      <xdr:col>13</xdr:col>
      <xdr:colOff>506017</xdr:colOff>
      <xdr:row>21</xdr:row>
      <xdr:rowOff>173808</xdr:rowOff>
    </xdr:from>
    <xdr:to>
      <xdr:col>24</xdr:col>
      <xdr:colOff>231079</xdr:colOff>
      <xdr:row>27</xdr:row>
      <xdr:rowOff>31468</xdr:rowOff>
    </xdr:to>
    <xdr:pic>
      <xdr:nvPicPr>
        <xdr:cNvPr id="15" name="Picture 14">
          <a:extLst>
            <a:ext uri="{FF2B5EF4-FFF2-40B4-BE49-F238E27FC236}">
              <a16:creationId xmlns:a16="http://schemas.microsoft.com/office/drawing/2014/main" id="{459355AA-CA5B-A861-A13F-74D1694EFE74}"/>
            </a:ext>
          </a:extLst>
        </xdr:cNvPr>
        <xdr:cNvPicPr>
          <a:picLocks noChangeAspect="1"/>
        </xdr:cNvPicPr>
      </xdr:nvPicPr>
      <xdr:blipFill>
        <a:blip xmlns:r="http://schemas.openxmlformats.org/officeDocument/2006/relationships" r:embed="rId4"/>
        <a:stretch>
          <a:fillRect/>
        </a:stretch>
      </xdr:blipFill>
      <xdr:spPr>
        <a:xfrm>
          <a:off x="8697517" y="4689779"/>
          <a:ext cx="6381356" cy="1000660"/>
        </a:xfrm>
        <a:prstGeom prst="rect">
          <a:avLst/>
        </a:prstGeom>
      </xdr:spPr>
    </xdr:pic>
    <xdr:clientData/>
  </xdr:twoCellAnchor>
  <xdr:twoCellAnchor>
    <xdr:from>
      <xdr:col>12</xdr:col>
      <xdr:colOff>281665</xdr:colOff>
      <xdr:row>9</xdr:row>
      <xdr:rowOff>179294</xdr:rowOff>
    </xdr:from>
    <xdr:to>
      <xdr:col>17</xdr:col>
      <xdr:colOff>430492</xdr:colOff>
      <xdr:row>21</xdr:row>
      <xdr:rowOff>7844</xdr:rowOff>
    </xdr:to>
    <mc:AlternateContent xmlns:mc="http://schemas.openxmlformats.org/markup-compatibility/2006" xmlns:a14="http://schemas.microsoft.com/office/drawing/2010/main">
      <mc:Choice Requires="a14">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7868047" y="2386853"/>
              <a:ext cx="3174416" cy="213696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i="1">
                      <a:solidFill>
                        <a:schemeClr val="tx1"/>
                      </a:solidFill>
                      <a:latin typeface="Cambria Math" panose="02040503050406030204" pitchFamily="18" charset="0"/>
                    </a:rPr>
                    <m:t>=</m:t>
                  </m:r>
                  <m:r>
                    <a:rPr lang="en-US" sz="1400" i="1">
                      <a:solidFill>
                        <a:schemeClr val="tx1"/>
                      </a:solidFill>
                      <a:latin typeface="Cambria Math" panose="02040503050406030204" pitchFamily="18" charset="0"/>
                    </a:rPr>
                    <m:t>𝟏</m:t>
                  </m:r>
                  <m:r>
                    <a:rPr lang="en-US" sz="1400" i="1">
                      <a:solidFill>
                        <a:schemeClr val="tx1"/>
                      </a:solidFill>
                      <a:latin typeface="Cambria Math" panose="02040503050406030204" pitchFamily="18" charset="0"/>
                    </a:rPr>
                    <m:t>+</m:t>
                  </m:r>
                  <m:d>
                    <m:dPr>
                      <m:ctrlPr>
                        <a:rPr lang="en-US" sz="1400" i="1">
                          <a:solidFill>
                            <a:schemeClr val="tx1"/>
                          </a:solidFill>
                          <a:latin typeface="Cambria Math" panose="02040503050406030204" pitchFamily="18" charset="0"/>
                        </a:rPr>
                      </m:ctrlPr>
                    </m:dPr>
                    <m:e>
                      <m:f>
                        <m:fPr>
                          <m:type m:val="lin"/>
                          <m:ctrlPr>
                            <a:rPr lang="en-US" sz="1400" i="1">
                              <a:solidFill>
                                <a:schemeClr val="tx1"/>
                              </a:solidFill>
                              <a:latin typeface="Cambria Math" panose="02040503050406030204" pitchFamily="18" charset="0"/>
                            </a:rPr>
                          </m:ctrlPr>
                        </m:fPr>
                        <m:num>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i="1">
                                  <a:solidFill>
                                    <a:schemeClr val="tx1"/>
                                  </a:solidFill>
                                  <a:latin typeface="Cambria Math" panose="02040503050406030204" pitchFamily="18" charset="0"/>
                                </a:rPr>
                                <m:t>𝑭</m:t>
                              </m:r>
                            </m:sub>
                          </m:sSub>
                        </m:num>
                        <m:den>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𝒃</m:t>
                              </m:r>
                            </m:sub>
                          </m:sSub>
                        </m:den>
                      </m:f>
                    </m:e>
                  </m:d>
                </m:oMath>
              </a14:m>
              <a:endParaRPr lang="en-US" sz="1400">
                <a:solidFill>
                  <a:schemeClr val="tx1"/>
                </a:solidFill>
              </a:endParaRPr>
            </a:p>
            <a:p>
              <a:r>
                <a:rPr lang="en-US" sz="1600">
                  <a:solidFill>
                    <a:sysClr val="windowText" lastClr="000000"/>
                  </a:solidFill>
                </a:rPr>
                <a:t>Cutoff Frequency: </a:t>
              </a:r>
              <a14:m>
                <m:oMath xmlns:m="http://schemas.openxmlformats.org/officeDocument/2006/math">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𝑓</m:t>
                      </m:r>
                    </m:e>
                    <m:sub>
                      <m:r>
                        <a:rPr lang="en-US" sz="1600" i="1">
                          <a:solidFill>
                            <a:sysClr val="windowText" lastClr="000000"/>
                          </a:solidFill>
                          <a:latin typeface="Cambria Math" panose="02040503050406030204" pitchFamily="18" charset="0"/>
                        </a:rPr>
                        <m:t>𝑐</m:t>
                      </m:r>
                    </m:sub>
                  </m:sSub>
                  <m:r>
                    <a:rPr lang="en-US" sz="1600" i="1">
                      <a:solidFill>
                        <a:sysClr val="windowText" lastClr="000000"/>
                      </a:solidFill>
                      <a:latin typeface="Cambria Math" panose="02040503050406030204" pitchFamily="18" charset="0"/>
                    </a:rPr>
                    <m:t>=</m:t>
                  </m:r>
                  <m:f>
                    <m:fPr>
                      <m:ctrlPr>
                        <a:rPr lang="en-US" sz="1600" i="1">
                          <a:solidFill>
                            <a:sysClr val="windowText" lastClr="000000"/>
                          </a:solidFill>
                          <a:latin typeface="Cambria Math" panose="02040503050406030204" pitchFamily="18" charset="0"/>
                        </a:rPr>
                      </m:ctrlPr>
                    </m:fPr>
                    <m:num>
                      <m:r>
                        <a:rPr lang="en-US" sz="1600" i="1">
                          <a:solidFill>
                            <a:sysClr val="windowText" lastClr="000000"/>
                          </a:solidFill>
                          <a:latin typeface="Cambria Math" panose="02040503050406030204" pitchFamily="18" charset="0"/>
                        </a:rPr>
                        <m:t>1</m:t>
                      </m:r>
                    </m:num>
                    <m:den>
                      <m:r>
                        <a:rPr lang="en-US" sz="1600" i="1">
                          <a:solidFill>
                            <a:sysClr val="windowText" lastClr="000000"/>
                          </a:solidFill>
                          <a:latin typeface="Cambria Math" panose="02040503050406030204" pitchFamily="18" charset="0"/>
                        </a:rPr>
                        <m:t>2</m:t>
                      </m:r>
                      <m:r>
                        <a:rPr lang="en-US" sz="1600" i="1">
                          <a:solidFill>
                            <a:sysClr val="windowText" lastClr="000000"/>
                          </a:solidFill>
                          <a:latin typeface="Cambria Math" panose="02040503050406030204" pitchFamily="18" charset="0"/>
                        </a:rPr>
                        <m:t>𝜋</m:t>
                      </m:r>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𝑅</m:t>
                          </m:r>
                        </m:e>
                        <m:sub>
                          <m:r>
                            <a:rPr lang="en-US" sz="1600" b="1" i="1">
                              <a:solidFill>
                                <a:sysClr val="windowText" lastClr="000000"/>
                              </a:solidFill>
                              <a:latin typeface="Cambria Math" panose="02040503050406030204" pitchFamily="18" charset="0"/>
                            </a:rPr>
                            <m:t>𝒃</m:t>
                          </m:r>
                        </m:sub>
                      </m:sSub>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𝐶</m:t>
                          </m:r>
                        </m:e>
                        <m:sub>
                          <m:r>
                            <a:rPr lang="en-US" sz="1600" i="1">
                              <a:solidFill>
                                <a:sysClr val="windowText" lastClr="000000"/>
                              </a:solidFill>
                              <a:latin typeface="Cambria Math" panose="02040503050406030204" pitchFamily="18" charset="0"/>
                            </a:rPr>
                            <m:t>1</m:t>
                          </m:r>
                        </m:sub>
                      </m:sSub>
                    </m:den>
                  </m:f>
                </m:oMath>
              </a14:m>
              <a:endParaRPr lang="en-US" sz="1400" b="0">
                <a:solidFill>
                  <a:sysClr val="windowText" lastClr="000000"/>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𝑓</m:t>
                                        </m:r>
                                      </m:num>
                                      <m:den>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e>
                        </m:rad>
                      </m:e>
                    </m:d>
                  </m:oMath>
                </m:oMathPara>
              </a14:m>
              <a:endParaRPr lang="en-US" sz="1100" b="0">
                <a:solidFill>
                  <a:schemeClr val="tx1"/>
                </a:solidFill>
              </a:endParaRPr>
            </a:p>
          </xdr:txBody>
        </xdr:sp>
      </mc:Choice>
      <mc:Fallback xmlns="">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7868047" y="2386853"/>
              <a:ext cx="3174416" cy="213696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r>
                <a:rPr lang="en-US" sz="1400" i="0">
                  <a:solidFill>
                    <a:schemeClr val="tx1"/>
                  </a:solidFill>
                  <a:latin typeface="Cambria Math" panose="02040503050406030204" pitchFamily="18" charset="0"/>
                </a:rPr>
                <a:t>〖 𝑨〗_𝒗=𝟏+(𝑹_𝑭∕𝑹_</a:t>
              </a:r>
              <a:r>
                <a:rPr lang="en-US" sz="1400" b="1" i="0">
                  <a:solidFill>
                    <a:schemeClr val="tx1"/>
                  </a:solidFill>
                  <a:latin typeface="Cambria Math" panose="02040503050406030204" pitchFamily="18" charset="0"/>
                </a:rPr>
                <a:t>𝒃 )</a:t>
              </a:r>
              <a:endParaRPr lang="en-US" sz="1400">
                <a:solidFill>
                  <a:schemeClr val="tx1"/>
                </a:solidFill>
              </a:endParaRPr>
            </a:p>
            <a:p>
              <a:r>
                <a:rPr lang="en-US" sz="1600">
                  <a:solidFill>
                    <a:sysClr val="windowText" lastClr="000000"/>
                  </a:solidFill>
                </a:rPr>
                <a:t>Cutoff Frequency: </a:t>
              </a:r>
              <a:r>
                <a:rPr lang="en-US" sz="1600" i="0">
                  <a:solidFill>
                    <a:sysClr val="windowText" lastClr="000000"/>
                  </a:solidFill>
                  <a:latin typeface="Cambria Math" panose="02040503050406030204" pitchFamily="18" charset="0"/>
                </a:rPr>
                <a:t>𝑓_𝑐=1/(2𝜋𝑅_</a:t>
              </a:r>
              <a:r>
                <a:rPr lang="en-US" sz="1600" b="1" i="0">
                  <a:solidFill>
                    <a:sysClr val="windowText" lastClr="000000"/>
                  </a:solidFill>
                  <a:latin typeface="Cambria Math" panose="02040503050406030204" pitchFamily="18" charset="0"/>
                </a:rPr>
                <a:t>𝒃 </a:t>
              </a:r>
              <a:r>
                <a:rPr lang="en-US" sz="1600" i="0">
                  <a:solidFill>
                    <a:sysClr val="windowText" lastClr="000000"/>
                  </a:solidFill>
                  <a:latin typeface="Cambria Math" panose="02040503050406030204" pitchFamily="18" charset="0"/>
                </a:rPr>
                <a:t>𝐶_1 )</a:t>
              </a:r>
              <a:endParaRPr lang="en-US" sz="1400" b="0">
                <a:solidFill>
                  <a:sysClr val="windowText" lastClr="000000"/>
                </a:solidFill>
              </a:endParaRPr>
            </a:p>
            <a:p>
              <a:pP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𝑜𝑢𝑡</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(𝑅_𝐹/𝑅_𝐵 )^2+</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𝑓</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US" sz="1100" b="0">
                <a:solidFill>
                  <a:schemeClr val="tx1"/>
                </a:solidFill>
              </a:endParaRPr>
            </a:p>
          </xdr:txBody>
        </xdr:sp>
      </mc:Fallback>
    </mc:AlternateContent>
    <xdr:clientData/>
  </xdr:twoCellAnchor>
  <xdr:twoCellAnchor>
    <xdr:from>
      <xdr:col>14</xdr:col>
      <xdr:colOff>89647</xdr:colOff>
      <xdr:row>29</xdr:row>
      <xdr:rowOff>147918</xdr:rowOff>
    </xdr:from>
    <xdr:to>
      <xdr:col>20</xdr:col>
      <xdr:colOff>270622</xdr:colOff>
      <xdr:row>55</xdr:row>
      <xdr:rowOff>186018</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8886265" y="6187889"/>
              <a:ext cx="3811681" cy="500230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1+</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d>
                          <m:dPr>
                            <m:begChr m:val="|"/>
                            <m:endChr m:val="|"/>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𝐶</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d>
                      </m:den>
                    </m:f>
                    <m:r>
                      <a:rPr lang="en-CA" sz="1000" b="0" i="1" kern="1200">
                        <a:solidFill>
                          <a:schemeClr val="tx1"/>
                        </a:solidFill>
                        <a:effectLst/>
                        <a:latin typeface="Cambria Math" panose="02040503050406030204" pitchFamily="18" charset="0"/>
                        <a:ea typeface="+mn-ea"/>
                        <a:cs typeface="+mn-cs"/>
                      </a:rPr>
                      <m:t>=</m:t>
                    </m:r>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sup>
                                        <m:r>
                                          <a:rPr lang="en-CA" sz="1400" b="0" i="1" kern="1200">
                                            <a:solidFill>
                                              <a:schemeClr val="tx1"/>
                                            </a:solidFill>
                                            <a:effectLst/>
                                            <a:latin typeface="Cambria Math" panose="02040503050406030204" pitchFamily="18" charset="0"/>
                                            <a:ea typeface="+mn-ea"/>
                                            <a:cs typeface="+mn-cs"/>
                                          </a:rPr>
                                          <m:t>2</m:t>
                                        </m:r>
                                      </m:sup>
                                    </m:sSup>
                                  </m:den>
                                </m:f>
                              </m:e>
                            </m:rad>
                          </m:den>
                        </m:f>
                      </m:den>
                    </m:f>
                  </m:oMath>
                </m:oMathPara>
              </a14:m>
              <a:endParaRPr lang="en-CA" sz="160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e>
                    </m:rad>
                  </m:oMath>
                </m:oMathPara>
              </a14:m>
              <a:endParaRPr lang="en-CA" sz="1000">
                <a:effectLst/>
              </a:endParaRPr>
            </a:p>
            <a:p>
              <a14:m>
                <m:oMath xmlns:m="http://schemas.openxmlformats.org/officeDocument/2006/math">
                  <m:sSub>
                    <m:sSubPr>
                      <m:ctrlPr>
                        <a:rPr lang="en-US" sz="1050" b="0" i="1">
                          <a:solidFill>
                            <a:schemeClr val="tx1"/>
                          </a:solidFill>
                          <a:latin typeface="Cambria Math" panose="02040503050406030204" pitchFamily="18" charset="0"/>
                        </a:rPr>
                      </m:ctrlPr>
                    </m:sSubPr>
                    <m:e>
                      <m:r>
                        <a:rPr lang="en-CA" sz="1050" b="0" i="1">
                          <a:solidFill>
                            <a:schemeClr val="tx1"/>
                          </a:solidFill>
                          <a:latin typeface="Cambria Math" panose="02040503050406030204" pitchFamily="18" charset="0"/>
                        </a:rPr>
                        <m:t>𝑓</m:t>
                      </m:r>
                    </m:e>
                    <m:sub>
                      <m:r>
                        <a:rPr lang="en-CA" sz="1050" b="0" i="1">
                          <a:solidFill>
                            <a:schemeClr val="tx1"/>
                          </a:solidFill>
                          <a:latin typeface="Cambria Math" panose="02040503050406030204" pitchFamily="18" charset="0"/>
                        </a:rPr>
                        <m:t>𝑐</m:t>
                      </m:r>
                    </m:sub>
                  </m:sSub>
                  <m:r>
                    <a:rPr lang="en-CA" sz="1050" b="0" i="1">
                      <a:solidFill>
                        <a:schemeClr val="tx1"/>
                      </a:solidFill>
                      <a:latin typeface="Cambria Math" panose="02040503050406030204" pitchFamily="18" charset="0"/>
                    </a:rPr>
                    <m:t>=</m:t>
                  </m:r>
                  <m:f>
                    <m:fPr>
                      <m:ctrlPr>
                        <a:rPr lang="en-CA" sz="1050" b="0" i="1">
                          <a:solidFill>
                            <a:schemeClr val="tx1"/>
                          </a:solidFill>
                          <a:latin typeface="Cambria Math" panose="02040503050406030204" pitchFamily="18" charset="0"/>
                        </a:rPr>
                      </m:ctrlPr>
                    </m:fPr>
                    <m:num>
                      <m:r>
                        <a:rPr lang="en-CA" sz="1050" b="0" i="1">
                          <a:solidFill>
                            <a:schemeClr val="tx1"/>
                          </a:solidFill>
                          <a:latin typeface="Cambria Math" panose="02040503050406030204" pitchFamily="18" charset="0"/>
                        </a:rPr>
                        <m:t>1</m:t>
                      </m:r>
                    </m:num>
                    <m:den>
                      <m:r>
                        <a:rPr lang="en-CA" sz="1050" b="0" i="1">
                          <a:solidFill>
                            <a:schemeClr val="tx1"/>
                          </a:solidFill>
                          <a:latin typeface="Cambria Math" panose="02040503050406030204" pitchFamily="18" charset="0"/>
                        </a:rPr>
                        <m:t>2</m:t>
                      </m:r>
                      <m:r>
                        <a:rPr lang="en-CA" sz="1050" b="0" i="1">
                          <a:solidFill>
                            <a:schemeClr val="tx1"/>
                          </a:solidFill>
                          <a:latin typeface="Cambria Math" panose="02040503050406030204" pitchFamily="18" charset="0"/>
                          <a:ea typeface="Cambria Math" panose="02040503050406030204" pitchFamily="18" charset="0"/>
                        </a:rPr>
                        <m:t>𝜋</m:t>
                      </m:r>
                      <m:sSub>
                        <m:sSubPr>
                          <m:ctrlPr>
                            <a:rPr lang="en-CA" sz="1050" b="0" i="1">
                              <a:solidFill>
                                <a:schemeClr val="tx1"/>
                              </a:solidFill>
                              <a:latin typeface="Cambria Math" panose="02040503050406030204" pitchFamily="18" charset="0"/>
                              <a:ea typeface="Cambria Math" panose="02040503050406030204" pitchFamily="18" charset="0"/>
                            </a:rPr>
                          </m:ctrlPr>
                        </m:sSubPr>
                        <m:e>
                          <m:r>
                            <a:rPr lang="en-CA" sz="1050" b="0" i="1">
                              <a:solidFill>
                                <a:schemeClr val="tx1"/>
                              </a:solidFill>
                              <a:latin typeface="Cambria Math" panose="02040503050406030204" pitchFamily="18" charset="0"/>
                              <a:ea typeface="Cambria Math" panose="02040503050406030204" pitchFamily="18" charset="0"/>
                            </a:rPr>
                            <m:t>𝑅</m:t>
                          </m:r>
                        </m:e>
                        <m:sub>
                          <m:r>
                            <a:rPr lang="en-CA" sz="1050" b="0" i="1">
                              <a:solidFill>
                                <a:schemeClr val="tx1"/>
                              </a:solidFill>
                              <a:latin typeface="Cambria Math" panose="02040503050406030204" pitchFamily="18" charset="0"/>
                              <a:ea typeface="Cambria Math" panose="02040503050406030204" pitchFamily="18" charset="0"/>
                            </a:rPr>
                            <m:t>𝐹</m:t>
                          </m:r>
                        </m:sub>
                      </m:sSub>
                      <m:r>
                        <a:rPr lang="en-CA" sz="1050" b="0" i="1">
                          <a:solidFill>
                            <a:schemeClr val="tx1"/>
                          </a:solidFill>
                          <a:latin typeface="Cambria Math" panose="02040503050406030204" pitchFamily="18" charset="0"/>
                          <a:ea typeface="Cambria Math" panose="02040503050406030204" pitchFamily="18" charset="0"/>
                        </a:rPr>
                        <m:t>𝐶</m:t>
                      </m:r>
                    </m:den>
                  </m:f>
                  <m:r>
                    <a:rPr lang="en-CA" sz="1050" b="0" i="1">
                      <a:solidFill>
                        <a:schemeClr val="tx1"/>
                      </a:solidFill>
                      <a:latin typeface="Cambria Math" panose="02040503050406030204" pitchFamily="18" charset="0"/>
                    </a:rPr>
                    <m:t>→</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oMath>
              </a14:m>
              <a:r>
                <a:rPr lang="en-CA" sz="1050" b="0">
                  <a:solidFill>
                    <a:schemeClr val="tx1"/>
                  </a:solidFill>
                </a:rPr>
                <a:t>=</a:t>
              </a:r>
              <a14:m>
                <m:oMath xmlns:m="http://schemas.openxmlformats.org/officeDocument/2006/math">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oMath>
              </a14:m>
              <a:endParaRPr lang="en-CA" sz="1050" b="0">
                <a:solidFill>
                  <a:schemeClr val="tx1"/>
                </a:solidFill>
              </a:endParaRPr>
            </a:p>
            <a:p>
              <a:endParaRPr lang="en-CA" sz="1050" b="0">
                <a:solidFill>
                  <a:schemeClr val="tx1"/>
                </a:solidFill>
              </a:endParaRPr>
            </a:p>
            <a:p>
              <a:pPr/>
              <a14:m>
                <m:oMathPara xmlns:m="http://schemas.openxmlformats.org/officeDocument/2006/math">
                  <m:oMathParaPr>
                    <m:jc m:val="left"/>
                  </m:oMathParaPr>
                  <m:oMath xmlns:m="http://schemas.openxmlformats.org/officeDocument/2006/math">
                    <m:r>
                      <a:rPr lang="en-CA" sz="1000" b="0" i="1" kern="1200">
                        <a:solidFill>
                          <a:schemeClr val="tx1"/>
                        </a:solidFill>
                        <a:effectLst/>
                        <a:latin typeface="Cambria Math" panose="02040503050406030204" pitchFamily="18" charset="0"/>
                        <a:ea typeface="+mn-ea"/>
                        <a:cs typeface="+mn-cs"/>
                      </a:rPr>
                      <m:t>→</m:t>
                    </m:r>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000" i="1" kern="1200">
                            <a:solidFill>
                              <a:schemeClr val="tx1"/>
                            </a:solidFill>
                            <a:effectLst/>
                            <a:latin typeface="Cambria Math" panose="02040503050406030204" pitchFamily="18" charset="0"/>
                            <a:ea typeface="+mn-ea"/>
                            <a:cs typeface="+mn-cs"/>
                          </a:rPr>
                        </m:ctrlPr>
                      </m:dPr>
                      <m:e>
                        <m:r>
                          <a:rPr lang="en-CA" sz="10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mlns="">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8886265" y="6187889"/>
              <a:ext cx="3811681" cy="500230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CA" sz="1400" b="0" i="0" kern="1200">
                  <a:solidFill>
                    <a:schemeClr val="tx1"/>
                  </a:solidFill>
                  <a:effectLst/>
                  <a:latin typeface="Cambria Math" panose="02040503050406030204" pitchFamily="18" charset="0"/>
                  <a:ea typeface="+mn-ea"/>
                  <a:cs typeface="+mn-cs"/>
                </a:rPr>
                <a:t>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0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𝑋</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𝐶 ||𝑅_𝐵 | </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2+1/〖𝑅_𝐵〗^2 </a:t>
              </a:r>
              <a:r>
                <a:rPr lang="en-US"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1+𝑅_𝐹</a:t>
              </a:r>
              <a:r>
                <a:rPr lang="en-US" sz="1100" b="0" i="0" kern="120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CA"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2+〖𝑅_𝐹〗^2/〖𝑅_𝐵〗^2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2+(𝑅_𝐹/𝑅_𝐵 )^2 </a:t>
              </a:r>
              <a:r>
                <a:rPr lang="en-US" sz="1100" b="0" i="0" kern="1200">
                  <a:solidFill>
                    <a:schemeClr val="tx1"/>
                  </a:solidFill>
                  <a:effectLst/>
                  <a:latin typeface="Cambria Math" panose="02040503050406030204" pitchFamily="18" charset="0"/>
                  <a:ea typeface="+mn-ea"/>
                  <a:cs typeface="+mn-cs"/>
                </a:rPr>
                <a:t>)</a:t>
              </a:r>
              <a:endParaRPr lang="en-CA" sz="1000">
                <a:effectLst/>
              </a:endParaRPr>
            </a:p>
            <a:p>
              <a:r>
                <a:rPr lang="en-CA" sz="1050" b="0" i="0">
                  <a:solidFill>
                    <a:schemeClr val="tx1"/>
                  </a:solidFill>
                  <a:latin typeface="Cambria Math" panose="02040503050406030204" pitchFamily="18" charset="0"/>
                </a:rPr>
                <a:t>𝑓</a:t>
              </a:r>
              <a:r>
                <a:rPr lang="en-US" sz="1050" b="0" i="0">
                  <a:solidFill>
                    <a:schemeClr val="tx1"/>
                  </a:solidFill>
                  <a:latin typeface="Cambria Math" panose="02040503050406030204" pitchFamily="18" charset="0"/>
                </a:rPr>
                <a:t>_</a:t>
              </a:r>
              <a:r>
                <a:rPr lang="en-CA" sz="1050" b="0" i="0">
                  <a:solidFill>
                    <a:schemeClr val="tx1"/>
                  </a:solidFill>
                  <a:latin typeface="Cambria Math" panose="02040503050406030204" pitchFamily="18" charset="0"/>
                </a:rPr>
                <a:t>𝑐=1/(2</a:t>
              </a:r>
              <a:r>
                <a:rPr lang="en-CA" sz="1050" b="0" i="0">
                  <a:solidFill>
                    <a:schemeClr val="tx1"/>
                  </a:solidFill>
                  <a:latin typeface="Cambria Math" panose="02040503050406030204" pitchFamily="18" charset="0"/>
                  <a:ea typeface="Cambria Math" panose="02040503050406030204" pitchFamily="18" charset="0"/>
                </a:rPr>
                <a:t>𝜋𝑅_𝐹 𝐶)</a:t>
              </a:r>
              <a:r>
                <a:rPr lang="en-CA" sz="1050" b="0" i="0">
                  <a:solidFill>
                    <a:schemeClr val="tx1"/>
                  </a:solidFill>
                  <a:latin typeface="Cambria Math" panose="02040503050406030204" pitchFamily="18" charset="0"/>
                </a:rPr>
                <a:t>→</a:t>
              </a:r>
              <a:r>
                <a:rPr lang="en-CA" sz="1100" b="0" i="0" kern="1200">
                  <a:solidFill>
                    <a:schemeClr val="tx1"/>
                  </a:solidFill>
                  <a:effectLst/>
                  <a:latin typeface="Cambria Math" panose="02040503050406030204" pitchFamily="18" charset="0"/>
                  <a:ea typeface="+mn-ea"/>
                  <a:cs typeface="+mn-cs"/>
                </a:rPr>
                <a:t>𝑅_𝐹 𝐶</a:t>
              </a:r>
              <a:r>
                <a:rPr lang="en-CA" sz="1050" b="0">
                  <a:solidFill>
                    <a:schemeClr val="tx1"/>
                  </a:solidFill>
                </a:rPr>
                <a:t>=</a:t>
              </a:r>
              <a:r>
                <a:rPr lang="en-CA" sz="1100" b="0" i="0" kern="1200">
                  <a:solidFill>
                    <a:schemeClr val="tx1"/>
                  </a:solidFill>
                  <a:effectLst/>
                  <a:latin typeface="Cambria Math" panose="02040503050406030204" pitchFamily="18" charset="0"/>
                  <a:ea typeface="+mn-ea"/>
                  <a:cs typeface="+mn-cs"/>
                </a:rPr>
                <a:t>1/(2𝜋𝑓_𝑐 )</a:t>
              </a:r>
              <a:endParaRPr lang="en-CA" sz="1050" b="0">
                <a:solidFill>
                  <a:schemeClr val="tx1"/>
                </a:solidFill>
              </a:endParaRPr>
            </a:p>
            <a:p>
              <a:endParaRPr lang="en-CA" sz="1050" b="0">
                <a:solidFill>
                  <a:schemeClr val="tx1"/>
                </a:solidFill>
              </a:endParaRPr>
            </a:p>
            <a:p>
              <a:pP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(𝑅_𝐹/𝑅_𝐵 )^2+</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wsDr>
</file>

<file path=xl/drawings/drawing2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579438</xdr:colOff>
      <xdr:row>0</xdr:row>
      <xdr:rowOff>315516</xdr:rowOff>
    </xdr:from>
    <xdr:to>
      <xdr:col>14</xdr:col>
      <xdr:colOff>321210</xdr:colOff>
      <xdr:row>12</xdr:row>
      <xdr:rowOff>103767</xdr:rowOff>
    </xdr:to>
    <xdr:pic>
      <xdr:nvPicPr>
        <xdr:cNvPr id="5" name="Picture 4">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889751" y="315516"/>
          <a:ext cx="2250022" cy="2455251"/>
        </a:xfrm>
        <a:prstGeom prst="rect">
          <a:avLst/>
        </a:prstGeom>
      </xdr:spPr>
    </xdr:pic>
    <xdr:clientData/>
  </xdr:twoCellAnchor>
  <xdr:twoCellAnchor>
    <xdr:from>
      <xdr:col>12</xdr:col>
      <xdr:colOff>342129</xdr:colOff>
      <xdr:row>9</xdr:row>
      <xdr:rowOff>132952</xdr:rowOff>
    </xdr:from>
    <xdr:to>
      <xdr:col>16</xdr:col>
      <xdr:colOff>392205</xdr:colOff>
      <xdr:row>18</xdr:row>
      <xdr:rowOff>66675</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95429" y="2333227"/>
              <a:ext cx="2488476" cy="164822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spcAft>
                  <a:spcPts val="300"/>
                </a:spcAft>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spcAft>
                  <a:spcPts val="300"/>
                </a:spcAft>
              </a:pPr>
              <a14:m>
                <m:oMathPara xmlns:m="http://schemas.openxmlformats.org/officeDocument/2006/math">
                  <m:oMathParaPr>
                    <m:jc m:val="centerGroup"/>
                  </m:oMathParaPr>
                  <m:oMath xmlns:m="http://schemas.openxmlformats.org/officeDocument/2006/math">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𝑜𝑢𝑡</m:t>
                        </m:r>
                      </m:sub>
                    </m:sSub>
                    <m:r>
                      <a:rPr lang="en-US" sz="1400" b="0" kern="1200">
                        <a:solidFill>
                          <a:schemeClr val="tx1"/>
                        </a:solidFill>
                        <a:effectLst/>
                        <a:latin typeface="Cambria Math" panose="02040503050406030204" pitchFamily="18" charset="0"/>
                        <a:ea typeface="+mn-ea"/>
                        <a:cs typeface="+mn-cs"/>
                      </a:rPr>
                      <m:t>=</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𝑖𝑛</m:t>
                        </m:r>
                      </m:sub>
                    </m:sSub>
                    <m:r>
                      <a:rPr lang="en-US" sz="1400" b="0" kern="1200">
                        <a:solidFill>
                          <a:schemeClr val="tx1"/>
                        </a:solidFill>
                        <a:effectLst/>
                        <a:latin typeface="Cambria Math" panose="02040503050406030204" pitchFamily="18" charset="0"/>
                        <a:ea typeface="+mn-ea"/>
                        <a:cs typeface="+mn-cs"/>
                      </a:rPr>
                      <m:t>+</m:t>
                    </m:r>
                    <m:d>
                      <m:dPr>
                        <m:ctrlPr>
                          <a:rPr lang="en-US" sz="1400" b="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𝐴</m:t>
                            </m:r>
                          </m:e>
                          <m:sub>
                            <m:r>
                              <a:rPr lang="en-US" sz="1400" b="0" i="1" kern="1200">
                                <a:solidFill>
                                  <a:schemeClr val="tx1"/>
                                </a:solidFill>
                                <a:effectLst/>
                                <a:latin typeface="Cambria Math" panose="02040503050406030204" pitchFamily="18" charset="0"/>
                                <a:ea typeface="+mn-ea"/>
                                <a:cs typeface="+mn-cs"/>
                              </a:rPr>
                              <m:t>𝑣</m:t>
                            </m:r>
                          </m:sub>
                        </m:sSub>
                      </m:e>
                    </m:d>
                    <m:sSub>
                      <m:sSubPr>
                        <m:ctrlPr>
                          <a:rPr lang="en-US" sz="1400" b="0" i="1" kern="1200">
                            <a:solidFill>
                              <a:schemeClr val="tx1"/>
                            </a:solidFill>
                            <a:effectLst/>
                            <a:latin typeface="Cambria Math" panose="02040503050406030204" pitchFamily="18" charset="0"/>
                            <a:ea typeface="+mn-ea"/>
                            <a:cs typeface="+mn-cs"/>
                          </a:rPr>
                        </m:ctrlPr>
                      </m:sSubPr>
                      <m:e>
                        <m:r>
                          <a:rPr lang="en-US" sz="1400" b="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𝑏</m:t>
                        </m:r>
                      </m:sub>
                    </m:sSub>
                  </m:oMath>
                </m:oMathPara>
              </a14:m>
              <a:endParaRPr lang="en-US" sz="1200" b="0" i="1">
                <a:latin typeface="Cambria Math" panose="02040503050406030204" pitchFamily="18" charset="0"/>
              </a:endParaRPr>
            </a:p>
            <a:p>
              <a:pPr algn="ctr">
                <a:spcAft>
                  <a:spcPts val="300"/>
                </a:spcAft>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95429" y="2333227"/>
              <a:ext cx="2488476" cy="164822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spcAft>
                  <a:spcPts val="300"/>
                </a:spcAft>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spcAft>
                  <a:spcPts val="300"/>
                </a:spcAft>
              </a:pPr>
              <a:r>
                <a:rPr lang="en-US" sz="14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i="1">
                <a:latin typeface="Cambria Math" panose="02040503050406030204" pitchFamily="18" charset="0"/>
              </a:endParaRPr>
            </a:p>
            <a:p>
              <a:pPr algn="ctr">
                <a:spcAft>
                  <a:spcPts val="300"/>
                </a:spcAft>
              </a:pP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5.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1A65311-CB36-40F9-81DC-FA7DC35D0A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71438</xdr:colOff>
      <xdr:row>0</xdr:row>
      <xdr:rowOff>656563</xdr:rowOff>
    </xdr:from>
    <xdr:to>
      <xdr:col>14</xdr:col>
      <xdr:colOff>458793</xdr:colOff>
      <xdr:row>11</xdr:row>
      <xdr:rowOff>175469</xdr:rowOff>
    </xdr:to>
    <xdr:pic>
      <xdr:nvPicPr>
        <xdr:cNvPr id="3" name="Picture 2">
          <a:extLst>
            <a:ext uri="{FF2B5EF4-FFF2-40B4-BE49-F238E27FC236}">
              <a16:creationId xmlns:a16="http://schemas.microsoft.com/office/drawing/2014/main" id="{AA45419A-BDF4-45FE-99A6-F8825A4ECC9D}"/>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7194021" y="656563"/>
          <a:ext cx="2324105" cy="2080073"/>
        </a:xfrm>
        <a:prstGeom prst="rect">
          <a:avLst/>
        </a:prstGeom>
      </xdr:spPr>
    </xdr:pic>
    <xdr:clientData/>
  </xdr:twoCellAnchor>
  <xdr:twoCellAnchor>
    <xdr:from>
      <xdr:col>12</xdr:col>
      <xdr:colOff>605366</xdr:colOff>
      <xdr:row>11</xdr:row>
      <xdr:rowOff>169332</xdr:rowOff>
    </xdr:from>
    <xdr:to>
      <xdr:col>17</xdr:col>
      <xdr:colOff>42334</xdr:colOff>
      <xdr:row>24</xdr:row>
      <xdr:rowOff>76199</xdr:rowOff>
    </xdr:to>
    <mc:AlternateContent xmlns:mc="http://schemas.openxmlformats.org/markup-compatibility/2006" xmlns:a14="http://schemas.microsoft.com/office/drawing/2010/main">
      <mc:Choice Requires="a14">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endParaRPr lang="en-US" sz="1200"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sSub>
                      <m:sSubPr>
                        <m:ctrlPr>
                          <a:rPr lang="en-CA"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𝑽</m:t>
                        </m:r>
                      </m:e>
                      <m:sub>
                        <m:r>
                          <a:rPr lang="en-CA" sz="1400" b="1" i="1" kern="1200">
                            <a:solidFill>
                              <a:schemeClr val="tx1"/>
                            </a:solidFill>
                            <a:effectLst/>
                            <a:latin typeface="Cambria Math" panose="02040503050406030204" pitchFamily="18" charset="0"/>
                            <a:ea typeface="+mn-ea"/>
                            <a:cs typeface="+mn-cs"/>
                          </a:rPr>
                          <m:t>𝒃</m:t>
                        </m:r>
                      </m:sub>
                    </m:sSub>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oMath>
                </m:oMathPara>
              </a14:m>
              <a:endParaRPr lang="en-CA" sz="1400">
                <a:effectLst/>
              </a:endParaRPr>
            </a:p>
            <a:p>
              <a:endParaRPr lang="en-US" sz="1050" i="1">
                <a:latin typeface="Cambria Math" panose="02040503050406030204" pitchFamily="18" charset="0"/>
              </a:endParaRPr>
            </a:p>
          </xdr:txBody>
        </xdr:sp>
      </mc:Choice>
      <mc:Fallback xmlns="">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endParaRPr lang="en-US" sz="12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US" sz="1200" i="1">
                <a:latin typeface="Cambria Math" panose="02040503050406030204" pitchFamily="18" charset="0"/>
              </a:endParaRPr>
            </a:p>
            <a:p>
              <a:endParaRPr lang="en-US" sz="1200" i="1">
                <a:latin typeface="Cambria Math" panose="02040503050406030204" pitchFamily="18" charset="0"/>
              </a:endParaRPr>
            </a:p>
            <a:p>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−𝑽_𝒃)</a:t>
              </a:r>
              <a:r>
                <a:rPr lang="en-US" sz="1400" b="1" i="0" kern="1200">
                  <a:solidFill>
                    <a:schemeClr val="tx1"/>
                  </a:solidFill>
                  <a:effectLst/>
                  <a:latin typeface="Cambria Math" panose="02040503050406030204" pitchFamily="18" charset="0"/>
                  <a:ea typeface="+mn-ea"/>
                  <a:cs typeface="+mn-cs"/>
                </a:rPr>
                <a:t>+𝑽_𝒃</a:t>
              </a:r>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−𝑽^+/𝟐)</a:t>
              </a:r>
              <a:r>
                <a:rPr lang="en-US" sz="1400" b="1" i="0" kern="1200">
                  <a:solidFill>
                    <a:schemeClr val="tx1"/>
                  </a:solidFill>
                  <a:effectLst/>
                  <a:latin typeface="Cambria Math" panose="02040503050406030204" pitchFamily="18" charset="0"/>
                  <a:ea typeface="+mn-ea"/>
                  <a:cs typeface="+mn-cs"/>
                </a:rPr>
                <a:t>+</a:t>
              </a:r>
              <a:r>
                <a:rPr lang="en-CA" sz="1400" b="1" i="0" kern="1200">
                  <a:solidFill>
                    <a:schemeClr val="tx1"/>
                  </a:solidFill>
                  <a:effectLst/>
                  <a:latin typeface="Cambria Math" panose="02040503050406030204" pitchFamily="18" charset="0"/>
                  <a:ea typeface="+mn-ea"/>
                  <a:cs typeface="+mn-cs"/>
                </a:rPr>
                <a:t>𝑽^+/𝟐</a:t>
              </a:r>
              <a:endParaRPr lang="en-CA" sz="1400">
                <a:effectLst/>
              </a:endParaRPr>
            </a:p>
            <a:p>
              <a:endParaRPr lang="en-US" sz="1050" i="1">
                <a:latin typeface="Cambria Math" panose="02040503050406030204" pitchFamily="18" charset="0"/>
              </a:endParaRPr>
            </a:p>
          </xdr:txBody>
        </xdr:sp>
      </mc:Fallback>
    </mc:AlternateContent>
    <xdr:clientData/>
  </xdr:twoCellAnchor>
  <xdr:twoCellAnchor editAs="oneCell">
    <xdr:from>
      <xdr:col>17</xdr:col>
      <xdr:colOff>276225</xdr:colOff>
      <xdr:row>11</xdr:row>
      <xdr:rowOff>76200</xdr:rowOff>
    </xdr:from>
    <xdr:to>
      <xdr:col>23</xdr:col>
      <xdr:colOff>161925</xdr:colOff>
      <xdr:row>22</xdr:row>
      <xdr:rowOff>148185</xdr:rowOff>
    </xdr:to>
    <xdr:pic>
      <xdr:nvPicPr>
        <xdr:cNvPr id="4" name="Picture 3">
          <a:extLst>
            <a:ext uri="{FF2B5EF4-FFF2-40B4-BE49-F238E27FC236}">
              <a16:creationId xmlns:a16="http://schemas.microsoft.com/office/drawing/2014/main" id="{9EBC5183-4174-C0A2-934E-639294527FFE}"/>
            </a:ext>
          </a:extLst>
        </xdr:cNvPr>
        <xdr:cNvPicPr>
          <a:picLocks noChangeAspect="1"/>
        </xdr:cNvPicPr>
      </xdr:nvPicPr>
      <xdr:blipFill>
        <a:blip xmlns:r="http://schemas.openxmlformats.org/officeDocument/2006/relationships" r:embed="rId3"/>
        <a:stretch>
          <a:fillRect/>
        </a:stretch>
      </xdr:blipFill>
      <xdr:spPr>
        <a:xfrm>
          <a:off x="10677525" y="2733675"/>
          <a:ext cx="3543300" cy="2167485"/>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ADEC7C-275F-4A06-8E1F-8B48A698D4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468313</xdr:colOff>
      <xdr:row>0</xdr:row>
      <xdr:rowOff>117079</xdr:rowOff>
    </xdr:from>
    <xdr:to>
      <xdr:col>17</xdr:col>
      <xdr:colOff>210085</xdr:colOff>
      <xdr:row>11</xdr:row>
      <xdr:rowOff>105752</xdr:rowOff>
    </xdr:to>
    <xdr:pic>
      <xdr:nvPicPr>
        <xdr:cNvPr id="3" name="Picture 2">
          <a:extLst>
            <a:ext uri="{FF2B5EF4-FFF2-40B4-BE49-F238E27FC236}">
              <a16:creationId xmlns:a16="http://schemas.microsoft.com/office/drawing/2014/main" id="{0FAACE94-9C11-4715-825F-9CE225A54A1C}"/>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659813" y="117079"/>
          <a:ext cx="2250022" cy="2455251"/>
        </a:xfrm>
        <a:prstGeom prst="rect">
          <a:avLst/>
        </a:prstGeom>
      </xdr:spPr>
    </xdr:pic>
    <xdr:clientData/>
  </xdr:twoCellAnchor>
  <xdr:twoCellAnchor>
    <xdr:from>
      <xdr:col>13</xdr:col>
      <xdr:colOff>336177</xdr:colOff>
      <xdr:row>12</xdr:row>
      <xdr:rowOff>89647</xdr:rowOff>
    </xdr:from>
    <xdr:to>
      <xdr:col>17</xdr:col>
      <xdr:colOff>386253</xdr:colOff>
      <xdr:row>20</xdr:row>
      <xdr:rowOff>113576</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r>
                <a:rPr lang="en-US" sz="1400" i="0" kern="1200">
                  <a:solidFill>
                    <a:schemeClr val="tx1"/>
                  </a:solidFill>
                  <a:effectLst/>
                  <a:latin typeface="+mn-lt"/>
                  <a:ea typeface="+mn-ea"/>
                  <a:cs typeface="+mn-cs"/>
                </a:rPr>
                <a:t>𝐴_𝑣=𝑉_𝑜𝑢𝑡/𝑉_𝑖𝑛 =(</a:t>
              </a:r>
              <a:r>
                <a:rPr lang="en-US" sz="1400" b="0" i="0" kern="1200">
                  <a:solidFill>
                    <a:schemeClr val="tx1"/>
                  </a:solidFill>
                  <a:effectLst/>
                  <a:latin typeface="+mn-lt"/>
                  <a:ea typeface="+mn-ea"/>
                  <a:cs typeface="+mn-cs"/>
                </a:rPr>
                <a:t>1+</a:t>
              </a:r>
              <a:r>
                <a:rPr lang="en-US" sz="1400" i="0" kern="1200">
                  <a:solidFill>
                    <a:schemeClr val="tx1"/>
                  </a:solidFill>
                  <a:effectLst/>
                  <a:latin typeface="+mn-lt"/>
                  <a:ea typeface="+mn-ea"/>
                  <a:cs typeface="+mn-cs"/>
                </a:rPr>
                <a:t>𝑅_𝐹/𝑅_1 )</a:t>
              </a:r>
              <a:endParaRPr lang="en-US" sz="1200">
                <a:effectLst/>
              </a:endParaRPr>
            </a:p>
            <a:p>
              <a:r>
                <a:rPr lang="en-US" sz="1400" b="1" i="0" kern="1200">
                  <a:solidFill>
                    <a:schemeClr val="tx1"/>
                  </a:solidFill>
                  <a:effectLst/>
                  <a:latin typeface="+mn-lt"/>
                  <a:ea typeface="+mn-ea"/>
                  <a:cs typeface="+mn-cs"/>
                </a:rPr>
                <a:t>𝑽_𝒐𝒖𝒕=𝑨_𝒗 𝑽_𝒊𝒏+(𝟏−𝑨_𝒗 ) 𝑽_𝒃</a:t>
              </a:r>
              <a:endParaRPr lang="en-US" sz="1200" i="1">
                <a:latin typeface="Cambria Math" panose="02040503050406030204" pitchFamily="18" charset="0"/>
              </a:endParaRPr>
            </a:p>
            <a:p>
              <a:pPr algn="ct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7.xml><?xml version="1.0" encoding="utf-8"?>
<xdr:wsDr xmlns:xdr="http://schemas.openxmlformats.org/drawingml/2006/spreadsheetDrawing" xmlns:a="http://schemas.openxmlformats.org/drawingml/2006/main">
  <xdr:twoCellAnchor>
    <xdr:from>
      <xdr:col>5</xdr:col>
      <xdr:colOff>581424</xdr:colOff>
      <xdr:row>13</xdr:row>
      <xdr:rowOff>7539</xdr:rowOff>
    </xdr:from>
    <xdr:to>
      <xdr:col>12</xdr:col>
      <xdr:colOff>311549</xdr:colOff>
      <xdr:row>27</xdr:row>
      <xdr:rowOff>121443</xdr:rowOff>
    </xdr:to>
    <xdr:graphicFrame macro="">
      <xdr:nvGraphicFramePr>
        <xdr:cNvPr id="2" name="Chart 1">
          <a:extLst>
            <a:ext uri="{FF2B5EF4-FFF2-40B4-BE49-F238E27FC236}">
              <a16:creationId xmlns:a16="http://schemas.microsoft.com/office/drawing/2014/main" id="{00000000-0008-0000-08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436562</xdr:colOff>
      <xdr:row>0</xdr:row>
      <xdr:rowOff>349251</xdr:rowOff>
    </xdr:from>
    <xdr:to>
      <xdr:col>17</xdr:col>
      <xdr:colOff>462881</xdr:colOff>
      <xdr:row>11</xdr:row>
      <xdr:rowOff>102761</xdr:rowOff>
    </xdr:to>
    <xdr:pic>
      <xdr:nvPicPr>
        <xdr:cNvPr id="6" name="Picture 5">
          <a:extLst>
            <a:ext uri="{FF2B5EF4-FFF2-40B4-BE49-F238E27FC236}">
              <a16:creationId xmlns:a16="http://schemas.microsoft.com/office/drawing/2014/main" id="{00000000-0008-0000-08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7758906" y="349251"/>
          <a:ext cx="3052491" cy="2333198"/>
        </a:xfrm>
        <a:prstGeom prst="rect">
          <a:avLst/>
        </a:prstGeom>
      </xdr:spPr>
    </xdr:pic>
    <xdr:clientData/>
  </xdr:twoCellAnchor>
  <xdr:twoCellAnchor>
    <xdr:from>
      <xdr:col>12</xdr:col>
      <xdr:colOff>426641</xdr:colOff>
      <xdr:row>12</xdr:row>
      <xdr:rowOff>19845</xdr:rowOff>
    </xdr:from>
    <xdr:to>
      <xdr:col>18</xdr:col>
      <xdr:colOff>158750</xdr:colOff>
      <xdr:row>23</xdr:row>
      <xdr:rowOff>59533</xdr:rowOff>
    </xdr:to>
    <mc:AlternateContent xmlns:mc="http://schemas.openxmlformats.org/markup-compatibility/2006" xmlns:a14="http://schemas.microsoft.com/office/drawing/2010/main">
      <mc:Choice Requires="a14">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,1</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2</m:t>
                                </m:r>
                              </m:sub>
                            </m:sSub>
                            <m:r>
                              <a:rPr lang="en-US" sz="1200" i="1">
                                <a:latin typeface="Cambria Math" panose="02040503050406030204" pitchFamily="18" charset="0"/>
                              </a:rPr>
                              <m:t>+</m:t>
                            </m:r>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,2</m:t>
                        </m:r>
                      </m:sub>
                    </m:sSub>
                  </m:oMath>
                </m:oMathPara>
              </a14:m>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d>
                      <m:dPr>
                        <m:ctrlPr>
                          <a:rPr lang="en-US" sz="1600" i="1">
                            <a:latin typeface="Cambria Math" panose="02040503050406030204" pitchFamily="18" charset="0"/>
                          </a:rPr>
                        </m:ctrlPr>
                      </m:dPr>
                      <m:e>
                        <m:f>
                          <m:fPr>
                            <m:ctrlPr>
                              <a:rPr lang="en-US" sz="1600" i="1">
                                <a:latin typeface="Cambria Math" panose="02040503050406030204" pitchFamily="18" charset="0"/>
                              </a:rPr>
                            </m:ctrlPr>
                          </m:fPr>
                          <m:num>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𝐹</m:t>
                                </m:r>
                              </m:sub>
                            </m:sSub>
                          </m:num>
                          <m:den>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1</m:t>
                                </m:r>
                              </m:sub>
                            </m:sSub>
                          </m:den>
                        </m:f>
                      </m:e>
                    </m:d>
                    <m:d>
                      <m:dPr>
                        <m:ctrlPr>
                          <a:rPr lang="en-US" sz="1600" i="1">
                            <a:latin typeface="Cambria Math" panose="02040503050406030204" pitchFamily="18" charset="0"/>
                          </a:rPr>
                        </m:ctrlPr>
                      </m:dPr>
                      <m:e>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e>
                    </m:d>
                  </m:oMath>
                </m:oMathPara>
              </a14:m>
              <a:endParaRPr lang="en-US" sz="1200"/>
            </a:p>
            <a:p>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oMath>
                </m:oMathPara>
              </a14:m>
              <a:endParaRPr lang="en-US" sz="1200"/>
            </a:p>
            <a:p>
              <a:endParaRPr lang="en-US" sz="1200"/>
            </a:p>
          </xdr:txBody>
        </xdr:sp>
      </mc:Choice>
      <mc:Fallback xmlns="">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r>
                <a:rPr lang="en-US" sz="1200" i="0">
                  <a:latin typeface="Cambria Math" panose="02040503050406030204" pitchFamily="18" charset="0"/>
                </a:rPr>
                <a:t>𝑉_𝑜𝑢𝑡=(−𝑅_𝐹/𝑅_1 ) 𝑉_(𝑖𝑛,1)+(1+𝑅_𝐹/𝑅_1 )(𝑅_3/(𝑅_2+𝑅_3 )) 𝑉_(𝑖𝑛,2)</a:t>
              </a:r>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r>
                <a:rPr lang="en-US" sz="1600" i="0">
                  <a:latin typeface="Cambria Math" panose="02040503050406030204" pitchFamily="18" charset="0"/>
                </a:rPr>
                <a:t>𝑉_𝑜𝑢𝑡=(𝑅_𝐹/𝑅_1 )(𝑉_(𝑖𝑛,2)−𝑉_(𝑖𝑛,1) )</a:t>
              </a:r>
              <a:endParaRPr lang="en-US" sz="1200"/>
            </a:p>
            <a:p>
              <a:r>
                <a:rPr lang="en-US" sz="1400" i="1"/>
                <a:t>If all resistor values equal:</a:t>
              </a:r>
            </a:p>
            <a:p>
              <a:pPr/>
              <a:r>
                <a:rPr lang="en-US" sz="1600" i="0">
                  <a:latin typeface="Cambria Math" panose="02040503050406030204" pitchFamily="18" charset="0"/>
                </a:rPr>
                <a:t>𝑉_𝑜𝑢𝑡=𝑉_(𝑖𝑛,2)−𝑉_(𝑖𝑛,1)</a:t>
              </a:r>
              <a:endParaRPr lang="en-US" sz="1200"/>
            </a:p>
            <a:p>
              <a:endParaRPr lang="en-US" sz="1200"/>
            </a:p>
          </xdr:txBody>
        </xdr:sp>
      </mc:Fallback>
    </mc:AlternateContent>
    <xdr:clientData/>
  </xdr:twoCellAnchor>
</xdr:wsDr>
</file>

<file path=xl/drawings/drawing28.xml><?xml version="1.0" encoding="utf-8"?>
<xdr:wsDr xmlns:xdr="http://schemas.openxmlformats.org/drawingml/2006/spreadsheetDrawing" xmlns:a="http://schemas.openxmlformats.org/drawingml/2006/main">
  <xdr:twoCellAnchor>
    <xdr:from>
      <xdr:col>5</xdr:col>
      <xdr:colOff>561580</xdr:colOff>
      <xdr:row>13</xdr:row>
      <xdr:rowOff>37305</xdr:rowOff>
    </xdr:from>
    <xdr:to>
      <xdr:col>12</xdr:col>
      <xdr:colOff>291705</xdr:colOff>
      <xdr:row>27</xdr:row>
      <xdr:rowOff>151209</xdr:rowOff>
    </xdr:to>
    <xdr:graphicFrame macro="">
      <xdr:nvGraphicFramePr>
        <xdr:cNvPr id="2" name="Chart 1">
          <a:extLst>
            <a:ext uri="{FF2B5EF4-FFF2-40B4-BE49-F238E27FC236}">
              <a16:creationId xmlns:a16="http://schemas.microsoft.com/office/drawing/2014/main" id="{00000000-0008-0000-09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515937</xdr:colOff>
      <xdr:row>0</xdr:row>
      <xdr:rowOff>369501</xdr:rowOff>
    </xdr:from>
    <xdr:to>
      <xdr:col>19</xdr:col>
      <xdr:colOff>5954</xdr:colOff>
      <xdr:row>10</xdr:row>
      <xdr:rowOff>116682</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2"/>
        <a:stretch>
          <a:fillRect/>
        </a:stretch>
      </xdr:blipFill>
      <xdr:spPr>
        <a:xfrm>
          <a:off x="7838281" y="369501"/>
          <a:ext cx="3726657" cy="2108587"/>
        </a:xfrm>
        <a:prstGeom prst="rect">
          <a:avLst/>
        </a:prstGeom>
      </xdr:spPr>
    </xdr:pic>
    <xdr:clientData/>
  </xdr:twoCellAnchor>
  <xdr:twoCellAnchor>
    <xdr:from>
      <xdr:col>12</xdr:col>
      <xdr:colOff>486172</xdr:colOff>
      <xdr:row>11</xdr:row>
      <xdr:rowOff>9921</xdr:rowOff>
    </xdr:from>
    <xdr:to>
      <xdr:col>19</xdr:col>
      <xdr:colOff>240395</xdr:colOff>
      <xdr:row>18</xdr:row>
      <xdr:rowOff>68142</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29.xml><?xml version="1.0" encoding="utf-8"?>
<xdr:wsDr xmlns:xdr="http://schemas.openxmlformats.org/drawingml/2006/spreadsheetDrawing" xmlns:a="http://schemas.openxmlformats.org/drawingml/2006/main">
  <xdr:twoCellAnchor>
    <xdr:from>
      <xdr:col>5</xdr:col>
      <xdr:colOff>541737</xdr:colOff>
      <xdr:row>14</xdr:row>
      <xdr:rowOff>106758</xdr:rowOff>
    </xdr:from>
    <xdr:to>
      <xdr:col>12</xdr:col>
      <xdr:colOff>271862</xdr:colOff>
      <xdr:row>29</xdr:row>
      <xdr:rowOff>32146</xdr:rowOff>
    </xdr:to>
    <xdr:graphicFrame macro="">
      <xdr:nvGraphicFramePr>
        <xdr:cNvPr id="2" name="Chart 1">
          <a:extLst>
            <a:ext uri="{FF2B5EF4-FFF2-40B4-BE49-F238E27FC236}">
              <a16:creationId xmlns:a16="http://schemas.microsoft.com/office/drawing/2014/main" id="{71126F74-BE16-4FF3-95D8-DAC8334434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586129</xdr:colOff>
      <xdr:row>0</xdr:row>
      <xdr:rowOff>546344</xdr:rowOff>
    </xdr:from>
    <xdr:to>
      <xdr:col>18</xdr:col>
      <xdr:colOff>73149</xdr:colOff>
      <xdr:row>11</xdr:row>
      <xdr:rowOff>65438</xdr:rowOff>
    </xdr:to>
    <xdr:pic>
      <xdr:nvPicPr>
        <xdr:cNvPr id="3" name="Picture 2">
          <a:extLst>
            <a:ext uri="{FF2B5EF4-FFF2-40B4-BE49-F238E27FC236}">
              <a16:creationId xmlns:a16="http://schemas.microsoft.com/office/drawing/2014/main" id="{954643CB-0BBD-4F2B-A074-0DFD81E5A5C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298453" y="546344"/>
          <a:ext cx="3722843" cy="2141270"/>
        </a:xfrm>
        <a:prstGeom prst="rect">
          <a:avLst/>
        </a:prstGeom>
      </xdr:spPr>
    </xdr:pic>
    <xdr:clientData/>
  </xdr:twoCellAnchor>
  <xdr:twoCellAnchor>
    <xdr:from>
      <xdr:col>12</xdr:col>
      <xdr:colOff>320768</xdr:colOff>
      <xdr:row>11</xdr:row>
      <xdr:rowOff>111355</xdr:rowOff>
    </xdr:from>
    <xdr:to>
      <xdr:col>18</xdr:col>
      <xdr:colOff>162133</xdr:colOff>
      <xdr:row>23</xdr:row>
      <xdr:rowOff>12139</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638209" y="2733531"/>
              <a:ext cx="3472071" cy="220919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b="0" i="1" kern="1200">
                                <a:solidFill>
                                  <a:schemeClr val="tx1"/>
                                </a:solidFill>
                                <a:effectLst/>
                                <a:latin typeface="Cambria Math" panose="02040503050406030204" pitchFamily="18" charset="0"/>
                                <a:ea typeface="+mn-ea"/>
                                <a:cs typeface="+mn-cs"/>
                              </a:rPr>
                              <m:t>1</m:t>
                            </m:r>
                          </m:sub>
                        </m:sSub>
                      </m:den>
                    </m:f>
                    <m:d>
                      <m:dPr>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0" kern="1200">
                                <a:solidFill>
                                  <a:schemeClr val="tx1"/>
                                </a:solidFill>
                                <a:effectLst/>
                                <a:latin typeface="Cambria Math" panose="02040503050406030204" pitchFamily="18" charset="0"/>
                                <a:ea typeface="+mn-ea"/>
                                <a:cs typeface="+mn-cs"/>
                              </a:rPr>
                              <m:t>2</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𝑛</m:t>
                            </m:r>
                          </m:sub>
                        </m:sSub>
                      </m:e>
                    </m:d>
                  </m:oMath>
                </m:oMathPara>
              </a14:m>
              <a:endParaRPr lang="en-US" sz="1400" i="1"/>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638209" y="2733531"/>
              <a:ext cx="3472071" cy="220919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r>
                <a:rPr lang="en-US" sz="1400" i="0" kern="1200">
                  <a:solidFill>
                    <a:schemeClr val="tx1"/>
                  </a:solidFill>
                  <a:effectLst/>
                  <a:latin typeface="Cambria Math" panose="02040503050406030204" pitchFamily="18" charset="0"/>
                  <a:ea typeface="+mn-ea"/>
                  <a:cs typeface="+mn-cs"/>
                </a:rPr>
                <a:t>𝑉_𝑜𝑢𝑡=−𝑅_𝐹/𝑅_</a:t>
              </a:r>
              <a:r>
                <a:rPr lang="en-US" sz="1400" b="0" i="0" kern="1200">
                  <a:solidFill>
                    <a:schemeClr val="tx1"/>
                  </a:solidFill>
                  <a:effectLst/>
                  <a:latin typeface="Cambria Math" panose="02040503050406030204" pitchFamily="18" charset="0"/>
                  <a:ea typeface="+mn-ea"/>
                  <a:cs typeface="+mn-cs"/>
                </a:rPr>
                <a:t>1  </a:t>
              </a:r>
              <a:r>
                <a:rPr lang="en-US" sz="1400" i="0" kern="1200">
                  <a:solidFill>
                    <a:schemeClr val="tx1"/>
                  </a:solidFill>
                  <a:effectLst/>
                  <a:latin typeface="Cambria Math" panose="02040503050406030204" pitchFamily="18" charset="0"/>
                  <a:ea typeface="+mn-ea"/>
                  <a:cs typeface="+mn-cs"/>
                </a:rPr>
                <a:t>(𝑉_1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US" sz="1400" b="0" i="0" kern="1200">
                  <a:solidFill>
                    <a:schemeClr val="tx1"/>
                  </a:solidFill>
                  <a:effectLst/>
                  <a:latin typeface="Cambria Math" panose="02040503050406030204" pitchFamily="18" charset="0"/>
                  <a:ea typeface="+mn-ea"/>
                  <a:cs typeface="+mn-cs"/>
                </a:rPr>
                <a:t>2+…+</a:t>
              </a:r>
              <a:r>
                <a:rPr lang="en-US" sz="1400" i="0" kern="1200">
                  <a:solidFill>
                    <a:schemeClr val="tx1"/>
                  </a:solidFill>
                  <a:effectLst/>
                  <a:latin typeface="Cambria Math" panose="02040503050406030204" pitchFamily="18" charset="0"/>
                  <a:ea typeface="+mn-ea"/>
                  <a:cs typeface="+mn-cs"/>
                </a:rPr>
                <a:t>𝑉_</a:t>
              </a:r>
              <a:r>
                <a:rPr lang="en-US" sz="1400" b="0" i="0" kern="1200">
                  <a:solidFill>
                    <a:schemeClr val="tx1"/>
                  </a:solidFill>
                  <a:effectLst/>
                  <a:latin typeface="Cambria Math" panose="02040503050406030204" pitchFamily="18" charset="0"/>
                  <a:ea typeface="+mn-ea"/>
                  <a:cs typeface="+mn-cs"/>
                </a:rPr>
                <a:t>𝑛 )</a:t>
              </a:r>
              <a:endParaRPr lang="en-US" sz="1400" i="1"/>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2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523876</xdr:colOff>
      <xdr:row>0</xdr:row>
      <xdr:rowOff>329406</xdr:rowOff>
    </xdr:from>
    <xdr:to>
      <xdr:col>16</xdr:col>
      <xdr:colOff>482333</xdr:colOff>
      <xdr:row>8</xdr:row>
      <xdr:rowOff>30989</xdr:rowOff>
    </xdr:to>
    <xdr:pic>
      <xdr:nvPicPr>
        <xdr:cNvPr id="3" name="Picture 2">
          <a:extLst>
            <a:ext uri="{FF2B5EF4-FFF2-40B4-BE49-F238E27FC236}">
              <a16:creationId xmlns:a16="http://schemas.microsoft.com/office/drawing/2014/main" id="{00000000-0008-0000-0200-000003000000}"/>
            </a:ext>
          </a:extLst>
        </xdr:cNvPr>
        <xdr:cNvPicPr/>
      </xdr:nvPicPr>
      <xdr:blipFill rotWithShape="1">
        <a:blip xmlns:r="http://schemas.openxmlformats.org/officeDocument/2006/relationships" r:embed="rId2" cstate="hqprint">
          <a:extLst>
            <a:ext uri="{28A0092B-C50C-407E-A947-70E740481C1C}">
              <a14:useLocalDpi xmlns:a14="http://schemas.microsoft.com/office/drawing/2010/main"/>
            </a:ext>
          </a:extLst>
        </a:blip>
        <a:srcRect t="3097"/>
        <a:stretch/>
      </xdr:blipFill>
      <xdr:spPr>
        <a:xfrm>
          <a:off x="7240985" y="329406"/>
          <a:ext cx="2984629" cy="1676036"/>
        </a:xfrm>
        <a:prstGeom prst="rect">
          <a:avLst/>
        </a:prstGeom>
      </xdr:spPr>
    </xdr:pic>
    <xdr:clientData/>
  </xdr:twoCellAnchor>
  <xdr:twoCellAnchor>
    <xdr:from>
      <xdr:col>12</xdr:col>
      <xdr:colOff>446485</xdr:colOff>
      <xdr:row>9</xdr:row>
      <xdr:rowOff>79376</xdr:rowOff>
    </xdr:from>
    <xdr:to>
      <xdr:col>15</xdr:col>
      <xdr:colOff>357187</xdr:colOff>
      <xdr:row>14</xdr:row>
      <xdr:rowOff>59531</xdr:rowOff>
    </xdr:to>
    <xdr:sp macro="" textlink="">
      <xdr:nvSpPr>
        <xdr:cNvPr id="4" name="TextBox 8">
          <a:extLst>
            <a:ext uri="{FF2B5EF4-FFF2-40B4-BE49-F238E27FC236}">
              <a16:creationId xmlns:a16="http://schemas.microsoft.com/office/drawing/2014/main" id="{00000000-0008-0000-0200-000004000000}"/>
            </a:ext>
          </a:extLst>
        </xdr:cNvPr>
        <xdr:cNvSpPr txBox="1"/>
      </xdr:nvSpPr>
      <xdr:spPr>
        <a:xfrm>
          <a:off x="7768829" y="2252267"/>
          <a:ext cx="1726405" cy="92273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Buffer</a:t>
          </a:r>
        </a:p>
        <a:p>
          <a:pPr algn="ctr"/>
          <a:r>
            <a:rPr lang="en-US" sz="1800"/>
            <a:t>V</a:t>
          </a:r>
          <a:r>
            <a:rPr lang="en-US" sz="1800" baseline="-25000"/>
            <a:t>out</a:t>
          </a:r>
          <a:r>
            <a:rPr lang="en-US" sz="1800"/>
            <a:t> </a:t>
          </a:r>
          <a:r>
            <a:rPr lang="en-US" sz="1800">
              <a:sym typeface="Symbol" panose="05050102010706020507" pitchFamily="18" charset="2"/>
            </a:rPr>
            <a:t>=</a:t>
          </a:r>
          <a:r>
            <a:rPr lang="en-US" sz="1800"/>
            <a:t> V</a:t>
          </a:r>
          <a:r>
            <a:rPr lang="en-US" sz="1800" baseline="-25000"/>
            <a:t>in(+)</a:t>
          </a:r>
          <a:endParaRPr lang="en-US" sz="1800" baseline="0"/>
        </a:p>
        <a:p>
          <a:pPr algn="ctr"/>
          <a:r>
            <a:rPr lang="en-US" sz="1400" baseline="0"/>
            <a:t>(gain = 1, or 0 dB)</a:t>
          </a:r>
          <a:endParaRPr lang="en-US" sz="1800" baseline="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00000000-0008-0000-0A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8886033" y="670719"/>
          <a:ext cx="4240767" cy="587692"/>
        </a:xfrm>
        <a:prstGeom prst="rect">
          <a:avLst/>
        </a:prstGeom>
      </xdr:spPr>
    </xdr:pic>
    <xdr:clientData/>
  </xdr:twoCellAnchor>
  <xdr:twoCellAnchor>
    <xdr:from>
      <xdr:col>14</xdr:col>
      <xdr:colOff>458158</xdr:colOff>
      <xdr:row>17</xdr:row>
      <xdr:rowOff>26848</xdr:rowOff>
    </xdr:from>
    <xdr:to>
      <xdr:col>22</xdr:col>
      <xdr:colOff>200305</xdr:colOff>
      <xdr:row>30</xdr:row>
      <xdr:rowOff>128051</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840158" y="3747201"/>
              <a:ext cx="4583088" cy="257770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CA" sz="1400" b="0" i="0" kern="1200">
                            <a:solidFill>
                              <a:schemeClr val="tx1"/>
                            </a:solidFill>
                            <a:effectLst/>
                            <a:latin typeface="Cambria Math" panose="02040503050406030204" pitchFamily="18" charset="0"/>
                            <a:ea typeface="+mn-ea"/>
                            <a:cs typeface="+mn-cs"/>
                          </a:rPr>
                          <m:t>2</m:t>
                        </m:r>
                      </m:sub>
                    </m:sSub>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840158" y="3747201"/>
              <a:ext cx="4583088" cy="257770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r>
                <a:rPr lang="en-US" sz="1400" i="0" kern="1200">
                  <a:solidFill>
                    <a:schemeClr val="tx1"/>
                  </a:solidFill>
                  <a:effectLst/>
                  <a:latin typeface="Cambria Math" panose="02040503050406030204" pitchFamily="18" charset="0"/>
                  <a:ea typeface="+mn-ea"/>
                  <a:cs typeface="+mn-cs"/>
                </a:rPr>
                <a:t>𝑉_𝑜𝑢𝑡=(1+𝑅_𝐹/𝑅_3 )[(𝑉_1+𝑉_2)/</a:t>
              </a:r>
              <a:r>
                <a:rPr lang="en-CA" sz="1400" b="0" i="0" kern="1200">
                  <a:solidFill>
                    <a:schemeClr val="tx1"/>
                  </a:solidFill>
                  <a:effectLst/>
                  <a:latin typeface="Cambria Math" panose="02040503050406030204" pitchFamily="18" charset="0"/>
                  <a:ea typeface="+mn-ea"/>
                  <a:cs typeface="+mn-cs"/>
                </a:rPr>
                <a:t>2]=((</a:t>
              </a:r>
              <a:r>
                <a:rPr lang="en-US" sz="1400" i="0" kern="1200">
                  <a:solidFill>
                    <a:schemeClr val="tx1"/>
                  </a:solidFill>
                  <a:effectLst/>
                  <a:latin typeface="Cambria Math" panose="02040503050406030204" pitchFamily="18" charset="0"/>
                  <a:ea typeface="+mn-ea"/>
                  <a:cs typeface="+mn-cs"/>
                </a:rPr>
                <a:t>1+𝑅_𝐹/𝑅_3 </a:t>
              </a:r>
              <a:r>
                <a:rPr lang="en-CA" sz="1400" b="0" i="0" kern="1200">
                  <a:solidFill>
                    <a:schemeClr val="tx1"/>
                  </a:solidFill>
                  <a:effectLst/>
                  <a:latin typeface="Cambria Math" panose="02040503050406030204" pitchFamily="18" charset="0"/>
                  <a:ea typeface="+mn-ea"/>
                  <a:cs typeface="+mn-cs"/>
                </a:rPr>
                <a:t>)/2)</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𝑉_1</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1+𝑅_𝐹/𝑅_3 </a:t>
              </a:r>
              <a:r>
                <a:rPr lang="en-CA" sz="1400" b="0" i="0" kern="1200">
                  <a:solidFill>
                    <a:schemeClr val="tx1"/>
                  </a:solidFill>
                  <a:effectLst/>
                  <a:latin typeface="Cambria Math" panose="02040503050406030204" pitchFamily="18" charset="0"/>
                  <a:ea typeface="+mn-ea"/>
                  <a:cs typeface="+mn-cs"/>
                </a:rPr>
                <a:t>)/2)</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14</xdr:col>
      <xdr:colOff>203030</xdr:colOff>
      <xdr:row>5</xdr:row>
      <xdr:rowOff>38289</xdr:rowOff>
    </xdr:from>
    <xdr:to>
      <xdr:col>18</xdr:col>
      <xdr:colOff>461770</xdr:colOff>
      <xdr:row>16</xdr:row>
      <xdr:rowOff>78638</xdr:rowOff>
    </xdr:to>
    <xdr:pic>
      <xdr:nvPicPr>
        <xdr:cNvPr id="7" name="Picture 6">
          <a:extLst>
            <a:ext uri="{FF2B5EF4-FFF2-40B4-BE49-F238E27FC236}">
              <a16:creationId xmlns:a16="http://schemas.microsoft.com/office/drawing/2014/main" id="{155EE37D-9BC7-4AB0-938D-816348F62BB5}"/>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8585030" y="1450230"/>
          <a:ext cx="2679211" cy="2158261"/>
        </a:xfrm>
        <a:prstGeom prst="rect">
          <a:avLst/>
        </a:prstGeom>
      </xdr:spPr>
    </xdr:pic>
    <xdr:clientData/>
  </xdr:twoCellAnchor>
  <xdr:twoCellAnchor editAs="oneCell">
    <xdr:from>
      <xdr:col>18</xdr:col>
      <xdr:colOff>517924</xdr:colOff>
      <xdr:row>5</xdr:row>
      <xdr:rowOff>51438</xdr:rowOff>
    </xdr:from>
    <xdr:to>
      <xdr:col>23</xdr:col>
      <xdr:colOff>163548</xdr:colOff>
      <xdr:row>16</xdr:row>
      <xdr:rowOff>110440</xdr:rowOff>
    </xdr:to>
    <xdr:pic>
      <xdr:nvPicPr>
        <xdr:cNvPr id="8" name="Picture 7">
          <a:extLst>
            <a:ext uri="{FF2B5EF4-FFF2-40B4-BE49-F238E27FC236}">
              <a16:creationId xmlns:a16="http://schemas.microsoft.com/office/drawing/2014/main" id="{55A186EF-296D-4BB4-AA62-E8E45A93F016}"/>
            </a:ext>
          </a:extLst>
        </xdr:cNvPr>
        <xdr:cNvPicPr>
          <a:picLocks noChangeAspect="1"/>
        </xdr:cNvPicPr>
      </xdr:nvPicPr>
      <xdr:blipFill>
        <a:blip xmlns:r="http://schemas.openxmlformats.org/officeDocument/2006/relationships" r:embed="rId4"/>
        <a:stretch>
          <a:fillRect/>
        </a:stretch>
      </xdr:blipFill>
      <xdr:spPr>
        <a:xfrm>
          <a:off x="11320395" y="1463379"/>
          <a:ext cx="2671212" cy="2176914"/>
        </a:xfrm>
        <a:prstGeom prst="rect">
          <a:avLst/>
        </a:prstGeom>
      </xdr:spPr>
    </xdr:pic>
    <xdr:clientData/>
  </xdr:twoCellAnchor>
  <xdr:twoCellAnchor>
    <xdr:from>
      <xdr:col>14</xdr:col>
      <xdr:colOff>134471</xdr:colOff>
      <xdr:row>5</xdr:row>
      <xdr:rowOff>33619</xdr:rowOff>
    </xdr:from>
    <xdr:to>
      <xdr:col>14</xdr:col>
      <xdr:colOff>593912</xdr:colOff>
      <xdr:row>10</xdr:row>
      <xdr:rowOff>22413</xdr:rowOff>
    </xdr:to>
    <xdr:sp macro="" textlink="">
      <xdr:nvSpPr>
        <xdr:cNvPr id="3" name="Oval 2">
          <a:extLst>
            <a:ext uri="{FF2B5EF4-FFF2-40B4-BE49-F238E27FC236}">
              <a16:creationId xmlns:a16="http://schemas.microsoft.com/office/drawing/2014/main" id="{EE3C1E3B-B590-1B81-5FF4-1430F3B2CB4E}"/>
            </a:ext>
          </a:extLst>
        </xdr:cNvPr>
        <xdr:cNvSpPr/>
      </xdr:nvSpPr>
      <xdr:spPr>
        <a:xfrm>
          <a:off x="8516471" y="1445560"/>
          <a:ext cx="459441" cy="952500"/>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18</xdr:col>
      <xdr:colOff>526676</xdr:colOff>
      <xdr:row>5</xdr:row>
      <xdr:rowOff>100854</xdr:rowOff>
    </xdr:from>
    <xdr:to>
      <xdr:col>19</xdr:col>
      <xdr:colOff>381000</xdr:colOff>
      <xdr:row>10</xdr:row>
      <xdr:rowOff>89648</xdr:rowOff>
    </xdr:to>
    <xdr:sp macro="" textlink="">
      <xdr:nvSpPr>
        <xdr:cNvPr id="6" name="Oval 5">
          <a:extLst>
            <a:ext uri="{FF2B5EF4-FFF2-40B4-BE49-F238E27FC236}">
              <a16:creationId xmlns:a16="http://schemas.microsoft.com/office/drawing/2014/main" id="{17CC372C-40BE-4526-9948-DCAE0154AF57}"/>
            </a:ext>
          </a:extLst>
        </xdr:cNvPr>
        <xdr:cNvSpPr/>
      </xdr:nvSpPr>
      <xdr:spPr>
        <a:xfrm>
          <a:off x="11329147" y="1512795"/>
          <a:ext cx="459441" cy="952500"/>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wsDr>
</file>

<file path=xl/drawings/drawing31.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7C8211DE-BE59-47C9-BCEC-20D8EB9F47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103849</xdr:colOff>
      <xdr:row>4</xdr:row>
      <xdr:rowOff>174627</xdr:rowOff>
    </xdr:from>
    <xdr:to>
      <xdr:col>18</xdr:col>
      <xdr:colOff>362589</xdr:colOff>
      <xdr:row>16</xdr:row>
      <xdr:rowOff>23153</xdr:rowOff>
    </xdr:to>
    <xdr:pic>
      <xdr:nvPicPr>
        <xdr:cNvPr id="3" name="Picture 2">
          <a:extLst>
            <a:ext uri="{FF2B5EF4-FFF2-40B4-BE49-F238E27FC236}">
              <a16:creationId xmlns:a16="http://schemas.microsoft.com/office/drawing/2014/main" id="{B603B2F5-F50F-4309-9B91-20523FAD767A}"/>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974005" y="1338794"/>
          <a:ext cx="2825199" cy="2090869"/>
        </a:xfrm>
        <a:prstGeom prst="rect">
          <a:avLst/>
        </a:prstGeom>
      </xdr:spPr>
    </xdr:pic>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827D6AD5-F707-4145-B553-1D8CF44E8011}"/>
            </a:ext>
          </a:extLst>
        </xdr:cNvPr>
        <xdr:cNvPicPr>
          <a:picLocks noChangeAspect="1"/>
        </xdr:cNvPicPr>
      </xdr:nvPicPr>
      <xdr:blipFill>
        <a:blip xmlns:r="http://schemas.openxmlformats.org/officeDocument/2006/relationships" r:embed="rId3"/>
        <a:stretch>
          <a:fillRect/>
        </a:stretch>
      </xdr:blipFill>
      <xdr:spPr>
        <a:xfrm>
          <a:off x="8842377" y="675481"/>
          <a:ext cx="4271326" cy="592455"/>
        </a:xfrm>
        <a:prstGeom prst="rect">
          <a:avLst/>
        </a:prstGeom>
      </xdr:spPr>
    </xdr:pic>
    <xdr:clientData/>
  </xdr:twoCellAnchor>
  <xdr:twoCellAnchor>
    <xdr:from>
      <xdr:col>15</xdr:col>
      <xdr:colOff>79376</xdr:colOff>
      <xdr:row>16</xdr:row>
      <xdr:rowOff>109141</xdr:rowOff>
    </xdr:from>
    <xdr:to>
      <xdr:col>21</xdr:col>
      <xdr:colOff>267892</xdr:colOff>
      <xdr:row>29</xdr:row>
      <xdr:rowOff>29766</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r>
                <a:rPr lang="en-US" sz="1400" i="0" kern="1200">
                  <a:solidFill>
                    <a:schemeClr val="tx1"/>
                  </a:solidFill>
                  <a:effectLst/>
                  <a:latin typeface="+mn-lt"/>
                  <a:ea typeface="+mn-ea"/>
                  <a:cs typeface="+mn-cs"/>
                </a:rPr>
                <a:t>𝑉_𝑜𝑢𝑡=(1+𝑅_𝐹/𝑅_3 )[(𝑉_1+𝑉_2)/</a:t>
              </a:r>
              <a:r>
                <a:rPr lang="en-CA" sz="1400" b="0" i="0" kern="1200">
                  <a:solidFill>
                    <a:schemeClr val="tx1"/>
                  </a:solidFill>
                  <a:effectLst/>
                  <a:latin typeface="+mn-lt"/>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18</xdr:col>
      <xdr:colOff>429949</xdr:colOff>
      <xdr:row>4</xdr:row>
      <xdr:rowOff>165365</xdr:rowOff>
    </xdr:from>
    <xdr:to>
      <xdr:col>23</xdr:col>
      <xdr:colOff>75573</xdr:colOff>
      <xdr:row>16</xdr:row>
      <xdr:rowOff>32544</xdr:rowOff>
    </xdr:to>
    <xdr:pic>
      <xdr:nvPicPr>
        <xdr:cNvPr id="6" name="Picture 5">
          <a:extLst>
            <a:ext uri="{FF2B5EF4-FFF2-40B4-BE49-F238E27FC236}">
              <a16:creationId xmlns:a16="http://schemas.microsoft.com/office/drawing/2014/main" id="{840812F2-3E9D-4F40-85C5-07865901E6D4}"/>
            </a:ext>
          </a:extLst>
        </xdr:cNvPr>
        <xdr:cNvPicPr>
          <a:picLocks noChangeAspect="1"/>
        </xdr:cNvPicPr>
      </xdr:nvPicPr>
      <xdr:blipFill>
        <a:blip xmlns:r="http://schemas.openxmlformats.org/officeDocument/2006/relationships" r:embed="rId4"/>
        <a:stretch>
          <a:fillRect/>
        </a:stretch>
      </xdr:blipFill>
      <xdr:spPr>
        <a:xfrm>
          <a:off x="11866564" y="1329532"/>
          <a:ext cx="2853697" cy="2109522"/>
        </a:xfrm>
        <a:prstGeom prst="rect">
          <a:avLst/>
        </a:prstGeom>
      </xdr:spPr>
    </xdr:pic>
    <xdr:clientData/>
  </xdr:twoCellAnchor>
  <xdr:twoCellAnchor>
    <xdr:from>
      <xdr:col>14</xdr:col>
      <xdr:colOff>11205</xdr:colOff>
      <xdr:row>5</xdr:row>
      <xdr:rowOff>1</xdr:rowOff>
    </xdr:from>
    <xdr:to>
      <xdr:col>14</xdr:col>
      <xdr:colOff>526676</xdr:colOff>
      <xdr:row>9</xdr:row>
      <xdr:rowOff>112059</xdr:rowOff>
    </xdr:to>
    <xdr:sp macro="" textlink="">
      <xdr:nvSpPr>
        <xdr:cNvPr id="7" name="Oval 6">
          <a:extLst>
            <a:ext uri="{FF2B5EF4-FFF2-40B4-BE49-F238E27FC236}">
              <a16:creationId xmlns:a16="http://schemas.microsoft.com/office/drawing/2014/main" id="{18F74284-F628-47D2-8200-720B66D2FC89}"/>
            </a:ext>
          </a:extLst>
        </xdr:cNvPr>
        <xdr:cNvSpPr/>
      </xdr:nvSpPr>
      <xdr:spPr>
        <a:xfrm>
          <a:off x="8393205" y="1411942"/>
          <a:ext cx="515471" cy="874058"/>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18</xdr:col>
      <xdr:colOff>425823</xdr:colOff>
      <xdr:row>5</xdr:row>
      <xdr:rowOff>56030</xdr:rowOff>
    </xdr:from>
    <xdr:to>
      <xdr:col>19</xdr:col>
      <xdr:colOff>280147</xdr:colOff>
      <xdr:row>9</xdr:row>
      <xdr:rowOff>179294</xdr:rowOff>
    </xdr:to>
    <xdr:sp macro="" textlink="">
      <xdr:nvSpPr>
        <xdr:cNvPr id="8" name="Oval 7">
          <a:extLst>
            <a:ext uri="{FF2B5EF4-FFF2-40B4-BE49-F238E27FC236}">
              <a16:creationId xmlns:a16="http://schemas.microsoft.com/office/drawing/2014/main" id="{25DA95CC-2681-4CE5-A469-E329E26BBD88}"/>
            </a:ext>
          </a:extLst>
        </xdr:cNvPr>
        <xdr:cNvSpPr/>
      </xdr:nvSpPr>
      <xdr:spPr>
        <a:xfrm>
          <a:off x="11228294" y="1467971"/>
          <a:ext cx="459441" cy="885264"/>
        </a:xfrm>
        <a:prstGeom prst="ellipse">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314563-7A3E-49D2-BF0F-FA28AEF1D3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290513</xdr:colOff>
      <xdr:row>0</xdr:row>
      <xdr:rowOff>167084</xdr:rowOff>
    </xdr:from>
    <xdr:to>
      <xdr:col>16</xdr:col>
      <xdr:colOff>280362</xdr:colOff>
      <xdr:row>11</xdr:row>
      <xdr:rowOff>129381</xdr:rowOff>
    </xdr:to>
    <xdr:pic>
      <xdr:nvPicPr>
        <xdr:cNvPr id="5" name="Picture 4">
          <a:extLst>
            <a:ext uri="{FF2B5EF4-FFF2-40B4-BE49-F238E27FC236}">
              <a16:creationId xmlns:a16="http://schemas.microsoft.com/office/drawing/2014/main" id="{185329F7-301A-4756-B5A0-0F81797501BE}"/>
            </a:ext>
          </a:extLst>
        </xdr:cNvPr>
        <xdr:cNvPicPr>
          <a:picLocks noChangeAspect="1"/>
        </xdr:cNvPicPr>
      </xdr:nvPicPr>
      <xdr:blipFill>
        <a:blip xmlns:r="http://schemas.openxmlformats.org/officeDocument/2006/relationships" r:embed="rId2"/>
        <a:stretch>
          <a:fillRect/>
        </a:stretch>
      </xdr:blipFill>
      <xdr:spPr>
        <a:xfrm>
          <a:off x="7643813" y="167084"/>
          <a:ext cx="2428249" cy="2524522"/>
        </a:xfrm>
        <a:prstGeom prst="rect">
          <a:avLst/>
        </a:prstGeom>
      </xdr:spPr>
    </xdr:pic>
    <xdr:clientData/>
  </xdr:twoCellAnchor>
  <xdr:twoCellAnchor>
    <xdr:from>
      <xdr:col>12</xdr:col>
      <xdr:colOff>460377</xdr:colOff>
      <xdr:row>12</xdr:row>
      <xdr:rowOff>30561</xdr:rowOff>
    </xdr:from>
    <xdr:to>
      <xdr:col>16</xdr:col>
      <xdr:colOff>450453</xdr:colOff>
      <xdr:row>15</xdr:row>
      <xdr:rowOff>26963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7813677" y="2783286"/>
              <a:ext cx="2428476"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oMath>
                </m:oMathPara>
              </a14:m>
              <a:endParaRPr lang="en-US" sz="1200"/>
            </a:p>
          </xdr:txBody>
        </xdr:sp>
      </mc:Choice>
      <mc:Fallback xmlns="">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7813677" y="2783286"/>
              <a:ext cx="2428476"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endParaRPr lang="en-US" sz="1200"/>
            </a:p>
          </xdr:txBody>
        </xdr:sp>
      </mc:Fallback>
    </mc:AlternateContent>
    <xdr:clientData/>
  </xdr:twoCellAnchor>
</xdr:wsDr>
</file>

<file path=xl/drawings/drawing3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AF7CDED-D51D-4041-BB9F-06DD85C628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419497</xdr:colOff>
      <xdr:row>12</xdr:row>
      <xdr:rowOff>137319</xdr:rowOff>
    </xdr:from>
    <xdr:to>
      <xdr:col>17</xdr:col>
      <xdr:colOff>355600</xdr:colOff>
      <xdr:row>15</xdr:row>
      <xdr:rowOff>133721</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772797" y="2890044"/>
              <a:ext cx="2984103"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oMath>
                </m:oMathPara>
              </a14:m>
              <a:endParaRPr lang="en-US" sz="1200"/>
            </a:p>
          </xdr:txBody>
        </xdr:sp>
      </mc:Choice>
      <mc:Fallback xmlns="">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772797" y="2890044"/>
              <a:ext cx="2984103" cy="56790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𝑏</a:t>
              </a:r>
              <a:endParaRPr lang="en-US" sz="1200"/>
            </a:p>
          </xdr:txBody>
        </xdr:sp>
      </mc:Fallback>
    </mc:AlternateContent>
    <xdr:clientData/>
  </xdr:twoCellAnchor>
  <xdr:twoCellAnchor editAs="oneCell">
    <xdr:from>
      <xdr:col>12</xdr:col>
      <xdr:colOff>452438</xdr:colOff>
      <xdr:row>0</xdr:row>
      <xdr:rowOff>128984</xdr:rowOff>
    </xdr:from>
    <xdr:to>
      <xdr:col>17</xdr:col>
      <xdr:colOff>5954</xdr:colOff>
      <xdr:row>12</xdr:row>
      <xdr:rowOff>62554</xdr:rowOff>
    </xdr:to>
    <xdr:pic>
      <xdr:nvPicPr>
        <xdr:cNvPr id="5" name="Picture 4">
          <a:extLst>
            <a:ext uri="{FF2B5EF4-FFF2-40B4-BE49-F238E27FC236}">
              <a16:creationId xmlns:a16="http://schemas.microsoft.com/office/drawing/2014/main" id="{04813029-9C9A-343B-34B6-948CBBED9356}"/>
            </a:ext>
          </a:extLst>
        </xdr:cNvPr>
        <xdr:cNvPicPr>
          <a:picLocks noChangeAspect="1"/>
        </xdr:cNvPicPr>
      </xdr:nvPicPr>
      <xdr:blipFill>
        <a:blip xmlns:r="http://schemas.openxmlformats.org/officeDocument/2006/relationships" r:embed="rId2"/>
        <a:stretch>
          <a:fillRect/>
        </a:stretch>
      </xdr:blipFill>
      <xdr:spPr>
        <a:xfrm>
          <a:off x="7805738" y="128984"/>
          <a:ext cx="2601516" cy="2686295"/>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11</xdr:col>
      <xdr:colOff>380209</xdr:colOff>
      <xdr:row>3</xdr:row>
      <xdr:rowOff>84825</xdr:rowOff>
    </xdr:from>
    <xdr:to>
      <xdr:col>11</xdr:col>
      <xdr:colOff>1362075</xdr:colOff>
      <xdr:row>3</xdr:row>
      <xdr:rowOff>1073832</xdr:rowOff>
    </xdr:to>
    <xdr:pic>
      <xdr:nvPicPr>
        <xdr:cNvPr id="2" name="Picture 1">
          <a:extLst>
            <a:ext uri="{FF2B5EF4-FFF2-40B4-BE49-F238E27FC236}">
              <a16:creationId xmlns:a16="http://schemas.microsoft.com/office/drawing/2014/main" id="{4AE0CE53-8102-7B09-F9C1-8A9DABC2E9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791284" y="2389875"/>
          <a:ext cx="981866" cy="989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361951</xdr:colOff>
      <xdr:row>4</xdr:row>
      <xdr:rowOff>84588</xdr:rowOff>
    </xdr:from>
    <xdr:to>
      <xdr:col>11</xdr:col>
      <xdr:colOff>1533525</xdr:colOff>
      <xdr:row>4</xdr:row>
      <xdr:rowOff>979605</xdr:rowOff>
    </xdr:to>
    <xdr:pic>
      <xdr:nvPicPr>
        <xdr:cNvPr id="4" name="Picture 3">
          <a:extLst>
            <a:ext uri="{FF2B5EF4-FFF2-40B4-BE49-F238E27FC236}">
              <a16:creationId xmlns:a16="http://schemas.microsoft.com/office/drawing/2014/main" id="{AEA806B2-190B-B000-1F17-7B591E047D46}"/>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r="1936"/>
        <a:stretch/>
      </xdr:blipFill>
      <xdr:spPr bwMode="auto">
        <a:xfrm>
          <a:off x="12773026" y="3551688"/>
          <a:ext cx="1171574" cy="8950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438150</xdr:colOff>
      <xdr:row>8</xdr:row>
      <xdr:rowOff>66675</xdr:rowOff>
    </xdr:from>
    <xdr:to>
      <xdr:col>11</xdr:col>
      <xdr:colOff>1743075</xdr:colOff>
      <xdr:row>8</xdr:row>
      <xdr:rowOff>944448</xdr:rowOff>
    </xdr:to>
    <xdr:pic>
      <xdr:nvPicPr>
        <xdr:cNvPr id="5" name="Picture 4">
          <a:extLst>
            <a:ext uri="{FF2B5EF4-FFF2-40B4-BE49-F238E27FC236}">
              <a16:creationId xmlns:a16="http://schemas.microsoft.com/office/drawing/2014/main" id="{113BACB0-9B14-2A16-067F-AA2A3A67839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849225" y="7553325"/>
          <a:ext cx="1304925" cy="8777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257175</xdr:colOff>
      <xdr:row>9</xdr:row>
      <xdr:rowOff>66675</xdr:rowOff>
    </xdr:from>
    <xdr:to>
      <xdr:col>11</xdr:col>
      <xdr:colOff>1847850</xdr:colOff>
      <xdr:row>9</xdr:row>
      <xdr:rowOff>1328953</xdr:rowOff>
    </xdr:to>
    <xdr:pic>
      <xdr:nvPicPr>
        <xdr:cNvPr id="7" name="Picture 6">
          <a:extLst>
            <a:ext uri="{FF2B5EF4-FFF2-40B4-BE49-F238E27FC236}">
              <a16:creationId xmlns:a16="http://schemas.microsoft.com/office/drawing/2014/main" id="{E84CCDD3-35E1-084C-54DF-E8A0AC5E373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0201275" y="5381625"/>
          <a:ext cx="1590675" cy="12622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247650</xdr:colOff>
      <xdr:row>7</xdr:row>
      <xdr:rowOff>85725</xdr:rowOff>
    </xdr:from>
    <xdr:to>
      <xdr:col>11</xdr:col>
      <xdr:colOff>2168863</xdr:colOff>
      <xdr:row>7</xdr:row>
      <xdr:rowOff>1228725</xdr:rowOff>
    </xdr:to>
    <xdr:pic>
      <xdr:nvPicPr>
        <xdr:cNvPr id="9" name="Picture 8">
          <a:extLst>
            <a:ext uri="{FF2B5EF4-FFF2-40B4-BE49-F238E27FC236}">
              <a16:creationId xmlns:a16="http://schemas.microsoft.com/office/drawing/2014/main" id="{A8F1085C-3B2C-9EA1-2195-E8568841E99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191750" y="3952875"/>
          <a:ext cx="1921213"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400049</xdr:colOff>
      <xdr:row>5</xdr:row>
      <xdr:rowOff>114301</xdr:rowOff>
    </xdr:from>
    <xdr:to>
      <xdr:col>11</xdr:col>
      <xdr:colOff>1724024</xdr:colOff>
      <xdr:row>5</xdr:row>
      <xdr:rowOff>1270596</xdr:rowOff>
    </xdr:to>
    <xdr:pic>
      <xdr:nvPicPr>
        <xdr:cNvPr id="10" name="Picture 9">
          <a:extLst>
            <a:ext uri="{FF2B5EF4-FFF2-40B4-BE49-F238E27FC236}">
              <a16:creationId xmlns:a16="http://schemas.microsoft.com/office/drawing/2014/main" id="{26C2D031-F297-CCD4-F309-853193DC4ED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487024" y="8324851"/>
          <a:ext cx="1323975" cy="1156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342899</xdr:colOff>
      <xdr:row>10</xdr:row>
      <xdr:rowOff>47626</xdr:rowOff>
    </xdr:from>
    <xdr:to>
      <xdr:col>11</xdr:col>
      <xdr:colOff>2124074</xdr:colOff>
      <xdr:row>10</xdr:row>
      <xdr:rowOff>1362117</xdr:rowOff>
    </xdr:to>
    <xdr:pic>
      <xdr:nvPicPr>
        <xdr:cNvPr id="12" name="Picture 11">
          <a:extLst>
            <a:ext uri="{FF2B5EF4-FFF2-40B4-BE49-F238E27FC236}">
              <a16:creationId xmlns:a16="http://schemas.microsoft.com/office/drawing/2014/main" id="{2CC3FC70-FA9E-57BE-B830-A1A61340DE7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667999" y="9705976"/>
          <a:ext cx="1781175" cy="1314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532154</xdr:colOff>
      <xdr:row>11</xdr:row>
      <xdr:rowOff>76200</xdr:rowOff>
    </xdr:from>
    <xdr:to>
      <xdr:col>11</xdr:col>
      <xdr:colOff>1781175</xdr:colOff>
      <xdr:row>11</xdr:row>
      <xdr:rowOff>924741</xdr:rowOff>
    </xdr:to>
    <xdr:pic>
      <xdr:nvPicPr>
        <xdr:cNvPr id="13" name="Picture 12">
          <a:extLst>
            <a:ext uri="{FF2B5EF4-FFF2-40B4-BE49-F238E27FC236}">
              <a16:creationId xmlns:a16="http://schemas.microsoft.com/office/drawing/2014/main" id="{4FFA4AA1-3853-652A-C77A-221A459389A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943229" y="11487150"/>
          <a:ext cx="1249021" cy="848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590551</xdr:colOff>
      <xdr:row>12</xdr:row>
      <xdr:rowOff>38101</xdr:rowOff>
    </xdr:from>
    <xdr:to>
      <xdr:col>11</xdr:col>
      <xdr:colOff>1600201</xdr:colOff>
      <xdr:row>12</xdr:row>
      <xdr:rowOff>1054482</xdr:rowOff>
    </xdr:to>
    <xdr:pic>
      <xdr:nvPicPr>
        <xdr:cNvPr id="15" name="Picture 14">
          <a:extLst>
            <a:ext uri="{FF2B5EF4-FFF2-40B4-BE49-F238E27FC236}">
              <a16:creationId xmlns:a16="http://schemas.microsoft.com/office/drawing/2014/main" id="{B2424900-748E-1F90-9F9F-5F67FABD384B}"/>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001626" y="12439651"/>
          <a:ext cx="1009650" cy="1016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83185</xdr:colOff>
      <xdr:row>13</xdr:row>
      <xdr:rowOff>190500</xdr:rowOff>
    </xdr:from>
    <xdr:to>
      <xdr:col>11</xdr:col>
      <xdr:colOff>2362986</xdr:colOff>
      <xdr:row>13</xdr:row>
      <xdr:rowOff>1114744</xdr:rowOff>
    </xdr:to>
    <xdr:pic>
      <xdr:nvPicPr>
        <xdr:cNvPr id="3" name="Picture 2" descr="A diagram of a circuit board&#10;&#10;Description automatically generated">
          <a:extLst>
            <a:ext uri="{FF2B5EF4-FFF2-40B4-BE49-F238E27FC236}">
              <a16:creationId xmlns:a16="http://schemas.microsoft.com/office/drawing/2014/main" id="{2180F4A4-47F9-6435-BFF6-51F811409FB5}"/>
            </a:ext>
          </a:extLst>
        </xdr:cNvPr>
        <xdr:cNvPicPr>
          <a:picLocks noChangeAspect="1"/>
        </xdr:cNvPicPr>
      </xdr:nvPicPr>
      <xdr:blipFill>
        <a:blip xmlns:r="http://schemas.openxmlformats.org/officeDocument/2006/relationships" r:embed="rId10"/>
        <a:stretch>
          <a:fillRect/>
        </a:stretch>
      </xdr:blipFill>
      <xdr:spPr>
        <a:xfrm>
          <a:off x="12494260" y="13687425"/>
          <a:ext cx="2279801" cy="924244"/>
        </a:xfrm>
        <a:prstGeom prst="rect">
          <a:avLst/>
        </a:prstGeom>
      </xdr:spPr>
    </xdr:pic>
    <xdr:clientData/>
  </xdr:twoCellAnchor>
  <xdr:twoCellAnchor editAs="oneCell">
    <xdr:from>
      <xdr:col>11</xdr:col>
      <xdr:colOff>82025</xdr:colOff>
      <xdr:row>2</xdr:row>
      <xdr:rowOff>65786</xdr:rowOff>
    </xdr:from>
    <xdr:to>
      <xdr:col>11</xdr:col>
      <xdr:colOff>1514475</xdr:colOff>
      <xdr:row>2</xdr:row>
      <xdr:rowOff>1191843</xdr:rowOff>
    </xdr:to>
    <xdr:pic>
      <xdr:nvPicPr>
        <xdr:cNvPr id="8" name="Picture 7" descr="A diagram of a box&#10;&#10;Description automatically generated">
          <a:extLst>
            <a:ext uri="{FF2B5EF4-FFF2-40B4-BE49-F238E27FC236}">
              <a16:creationId xmlns:a16="http://schemas.microsoft.com/office/drawing/2014/main" id="{FFDBF2BF-1579-2457-5B33-A9DB373B25E2}"/>
            </a:ext>
          </a:extLst>
        </xdr:cNvPr>
        <xdr:cNvPicPr>
          <a:picLocks noChangeAspect="1"/>
        </xdr:cNvPicPr>
      </xdr:nvPicPr>
      <xdr:blipFill>
        <a:blip xmlns:r="http://schemas.openxmlformats.org/officeDocument/2006/relationships" r:embed="rId11"/>
        <a:stretch>
          <a:fillRect/>
        </a:stretch>
      </xdr:blipFill>
      <xdr:spPr>
        <a:xfrm>
          <a:off x="12493100" y="1037336"/>
          <a:ext cx="1432450" cy="1126057"/>
        </a:xfrm>
        <a:prstGeom prst="rect">
          <a:avLst/>
        </a:prstGeom>
      </xdr:spPr>
    </xdr:pic>
    <xdr:clientData/>
  </xdr:twoCellAnchor>
  <xdr:twoCellAnchor editAs="oneCell">
    <xdr:from>
      <xdr:col>11</xdr:col>
      <xdr:colOff>285751</xdr:colOff>
      <xdr:row>6</xdr:row>
      <xdr:rowOff>133350</xdr:rowOff>
    </xdr:from>
    <xdr:to>
      <xdr:col>11</xdr:col>
      <xdr:colOff>1801843</xdr:colOff>
      <xdr:row>6</xdr:row>
      <xdr:rowOff>1371920</xdr:rowOff>
    </xdr:to>
    <xdr:pic>
      <xdr:nvPicPr>
        <xdr:cNvPr id="6" name="Picture 5">
          <a:extLst>
            <a:ext uri="{FF2B5EF4-FFF2-40B4-BE49-F238E27FC236}">
              <a16:creationId xmlns:a16="http://schemas.microsoft.com/office/drawing/2014/main" id="{D0CFC8C9-C21F-9B0E-9A41-52C9728E2E02}"/>
            </a:ext>
          </a:extLst>
        </xdr:cNvPr>
        <xdr:cNvPicPr>
          <a:picLocks noChangeAspect="1"/>
        </xdr:cNvPicPr>
      </xdr:nvPicPr>
      <xdr:blipFill>
        <a:blip xmlns:r="http://schemas.openxmlformats.org/officeDocument/2006/relationships" r:embed="rId12"/>
        <a:stretch>
          <a:fillRect/>
        </a:stretch>
      </xdr:blipFill>
      <xdr:spPr>
        <a:xfrm>
          <a:off x="12696826" y="6172200"/>
          <a:ext cx="1516092" cy="123857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B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595312</xdr:colOff>
      <xdr:row>0</xdr:row>
      <xdr:rowOff>198273</xdr:rowOff>
    </xdr:from>
    <xdr:to>
      <xdr:col>16</xdr:col>
      <xdr:colOff>523875</xdr:colOff>
      <xdr:row>10</xdr:row>
      <xdr:rowOff>75645</xdr:rowOff>
    </xdr:to>
    <xdr:pic>
      <xdr:nvPicPr>
        <xdr:cNvPr id="7" name="Picture 6">
          <a:extLst>
            <a:ext uri="{FF2B5EF4-FFF2-40B4-BE49-F238E27FC236}">
              <a16:creationId xmlns:a16="http://schemas.microsoft.com/office/drawing/2014/main" id="{47752803-6F09-4660-81D6-EAC739D1DFA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159750" y="198273"/>
          <a:ext cx="2436813" cy="2161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109141</xdr:colOff>
      <xdr:row>12</xdr:row>
      <xdr:rowOff>138905</xdr:rowOff>
    </xdr:from>
    <xdr:to>
      <xdr:col>17</xdr:col>
      <xdr:colOff>36988</xdr:colOff>
      <xdr:row>24</xdr:row>
      <xdr:rowOff>100788</xdr:rowOff>
    </xdr:to>
    <mc:AlternateContent xmlns:mc="http://schemas.openxmlformats.org/markup-compatibility/2006" xmlns:a14="http://schemas.microsoft.com/office/drawing/2010/main">
      <mc:Choice Requires="a14">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14:m>
                <m:oMath xmlns:m="http://schemas.openxmlformats.org/officeDocument/2006/math">
                  <m:sSub>
                    <m:sSubPr>
                      <m:ctrlPr>
                        <a:rPr lang="en-US" i="1">
                          <a:latin typeface="Cambria Math" panose="02040503050406030204" pitchFamily="18" charset="0"/>
                        </a:rPr>
                      </m:ctrlPr>
                    </m:sSubPr>
                    <m:e>
                      <m:r>
                        <a:rPr lang="en-CA" b="0" i="1">
                          <a:latin typeface="Cambria Math" panose="02040503050406030204" pitchFamily="18" charset="0"/>
                        </a:rPr>
                        <m:t>𝐴</m:t>
                      </m:r>
                    </m:e>
                    <m:sub>
                      <m:r>
                        <a:rPr lang="en-CA" b="0" i="1">
                          <a:latin typeface="Cambria Math" panose="02040503050406030204" pitchFamily="18" charset="0"/>
                        </a:rPr>
                        <m:t>𝑣</m:t>
                      </m:r>
                    </m:sub>
                  </m:sSub>
                  <m:r>
                    <a:rPr lang="en-US" i="1">
                      <a:latin typeface="Cambria Math" panose="02040503050406030204" pitchFamily="18" charset="0"/>
                    </a:rPr>
                    <m:t> </m:t>
                  </m:r>
                </m:oMath>
              </a14:m>
              <a:r>
                <a:rPr lang="en-US" i="1">
                  <a:latin typeface="Cambria Math" panose="02040503050406030204" pitchFamily="18" charset="0"/>
                </a:rPr>
                <a:t>=</a:t>
              </a:r>
              <a:r>
                <a:rPr lang="en-US"/>
                <a:t> </a:t>
              </a:r>
              <a14:m>
                <m:oMath xmlns:m="http://schemas.openxmlformats.org/officeDocument/2006/math">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oMath>
              </a14:m>
              <a:endParaRPr lang="en-US"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i="1">
                            <a:latin typeface="Cambria Math" panose="02040503050406030204" pitchFamily="18" charset="0"/>
                          </a:rPr>
                        </m:ctrlPr>
                      </m:sSubPr>
                      <m:e>
                        <m:r>
                          <a:rPr lang="en-US">
                            <a:latin typeface="Cambria Math" panose="02040503050406030204" pitchFamily="18" charset="0"/>
                          </a:rPr>
                          <m:t>𝑉</m:t>
                        </m:r>
                      </m:e>
                      <m:sub>
                        <m:r>
                          <a:rPr lang="en-US">
                            <a:latin typeface="Cambria Math" panose="02040503050406030204" pitchFamily="18" charset="0"/>
                          </a:rPr>
                          <m:t>𝑜𝑢𝑡</m:t>
                        </m:r>
                      </m:sub>
                    </m:sSub>
                    <m:r>
                      <a:rPr lang="en-US">
                        <a:latin typeface="Cambria Math" panose="02040503050406030204" pitchFamily="18" charset="0"/>
                      </a:rPr>
                      <m:t>=</m:t>
                    </m:r>
                    <m:sSub>
                      <m:sSubPr>
                        <m:ctrlPr>
                          <a:rPr lang="en-US" i="1">
                            <a:latin typeface="Cambria Math" panose="02040503050406030204" pitchFamily="18" charset="0"/>
                          </a:rPr>
                        </m:ctrlPr>
                      </m:sSubPr>
                      <m:e>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r>
                          <a:rPr lang="en-US">
                            <a:latin typeface="Cambria Math" panose="02040503050406030204" pitchFamily="18" charset="0"/>
                          </a:rPr>
                          <m:t>𝑉</m:t>
                        </m:r>
                      </m:e>
                      <m:sub>
                        <m:r>
                          <a:rPr lang="en-US">
                            <a:latin typeface="Cambria Math" panose="02040503050406030204" pitchFamily="18" charset="0"/>
                          </a:rPr>
                          <m:t>𝑖𝑛</m:t>
                        </m:r>
                      </m:sub>
                    </m:sSub>
                  </m:oMath>
                </m:oMathPara>
              </a14:m>
              <a:endParaRPr lang="en-US">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r>
                      <a:rPr lang="en-US">
                        <a:latin typeface="Cambria Math" panose="02040503050406030204" pitchFamily="18" charset="0"/>
                      </a:rPr>
                      <m:t>=</m:t>
                    </m:r>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num>
                      <m:den>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𝑖𝑛</m:t>
                                    </m:r>
                                  </m:sub>
                                </m:sSub>
                              </m:num>
                              <m:den>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𝑜𝑢𝑡</m:t>
                                    </m:r>
                                  </m:sub>
                                </m:sSub>
                              </m:den>
                            </m:f>
                          </m:e>
                        </m:d>
                        <m:r>
                          <a:rPr lang="en-US">
                            <a:latin typeface="Cambria Math" panose="02040503050406030204" pitchFamily="18" charset="0"/>
                          </a:rPr>
                          <m:t>−1</m:t>
                        </m:r>
                      </m:den>
                    </m:f>
                  </m:oMath>
                </m:oMathPara>
              </a14:m>
              <a:endParaRPr lang="en-US">
                <a:latin typeface="Cambria Math" panose="02040503050406030204" pitchFamily="18" charset="0"/>
              </a:endParaRPr>
            </a:p>
          </xdr:txBody>
        </xdr:sp>
      </mc:Choice>
      <mc:Fallback xmlns="">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r>
                <a:rPr lang="en-CA" b="0" i="0">
                  <a:latin typeface="Cambria Math" panose="02040503050406030204" pitchFamily="18" charset="0"/>
                </a:rPr>
                <a:t>𝐴</a:t>
              </a:r>
              <a:r>
                <a:rPr lang="en-US" b="0" i="0">
                  <a:latin typeface="Cambria Math" panose="02040503050406030204" pitchFamily="18" charset="0"/>
                </a:rPr>
                <a:t>_</a:t>
              </a:r>
              <a:r>
                <a:rPr lang="en-CA" b="0" i="0">
                  <a:latin typeface="Cambria Math" panose="02040503050406030204" pitchFamily="18" charset="0"/>
                </a:rPr>
                <a:t>𝑣</a:t>
              </a:r>
              <a:r>
                <a:rPr lang="en-US" b="0" i="0">
                  <a:latin typeface="Cambria Math" panose="02040503050406030204" pitchFamily="18" charset="0"/>
                </a:rPr>
                <a:t> </a:t>
              </a:r>
              <a:r>
                <a:rPr lang="en-US" i="0">
                  <a:latin typeface="Cambria Math" panose="02040503050406030204" pitchFamily="18" charset="0"/>
                </a:rPr>
                <a:t> </a:t>
              </a:r>
              <a:r>
                <a:rPr lang="en-US" i="1">
                  <a:latin typeface="Cambria Math" panose="02040503050406030204" pitchFamily="18" charset="0"/>
                </a:rPr>
                <a:t>=</a:t>
              </a:r>
              <a:r>
                <a:rPr lang="en-US"/>
                <a:t> </a:t>
              </a:r>
              <a:r>
                <a:rPr lang="en-US" i="0">
                  <a:latin typeface="Cambria Math" panose="02040503050406030204" pitchFamily="18" charset="0"/>
                </a:rPr>
                <a:t>(𝑅_2/(𝑅_1+𝑅_2 ))</a:t>
              </a:r>
              <a:endParaRPr lang="en-US" i="1">
                <a:latin typeface="Cambria Math" panose="02040503050406030204" pitchFamily="18" charset="0"/>
              </a:endParaRPr>
            </a:p>
            <a:p>
              <a:pPr/>
              <a:r>
                <a:rPr lang="en-US" i="0">
                  <a:latin typeface="Cambria Math" panose="02040503050406030204" pitchFamily="18" charset="0"/>
                </a:rPr>
                <a:t>𝑉_𝑜𝑢𝑡=(𝑅_2/(𝑅_1+𝑅_2 ))𝑉_𝑖𝑛</a:t>
              </a:r>
              <a:endParaRPr lang="en-US">
                <a:latin typeface="Cambria Math" panose="02040503050406030204" pitchFamily="18" charset="0"/>
              </a:endParaRPr>
            </a:p>
            <a:p>
              <a:pPr/>
              <a:r>
                <a:rPr lang="en-US" i="0">
                  <a:latin typeface="Cambria Math" panose="02040503050406030204" pitchFamily="18" charset="0"/>
                </a:rPr>
                <a:t>→𝑅_2=𝑅_1/((𝑉_</a:t>
              </a:r>
              <a:r>
                <a:rPr lang="en-US" b="0" i="0">
                  <a:latin typeface="Cambria Math" panose="02040503050406030204" pitchFamily="18" charset="0"/>
                </a:rPr>
                <a:t>𝑖𝑛/</a:t>
              </a:r>
              <a:r>
                <a:rPr lang="en-US" i="0">
                  <a:latin typeface="Cambria Math" panose="02040503050406030204" pitchFamily="18" charset="0"/>
                </a:rPr>
                <a:t>𝑉_</a:t>
              </a:r>
              <a:r>
                <a:rPr lang="en-US" b="0" i="0">
                  <a:latin typeface="Cambria Math" panose="02040503050406030204" pitchFamily="18" charset="0"/>
                </a:rPr>
                <a:t>𝑜𝑢𝑡 )</a:t>
              </a:r>
              <a:r>
                <a:rPr lang="en-US" i="0">
                  <a:latin typeface="Cambria Math" panose="02040503050406030204" pitchFamily="18" charset="0"/>
                </a:rPr>
                <a:t>−1)</a:t>
              </a:r>
              <a:endParaRPr lang="en-US">
                <a:latin typeface="Cambria Math" panose="02040503050406030204" pitchFamily="18" charset="0"/>
              </a:endParaRP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7</xdr:col>
      <xdr:colOff>65487</xdr:colOff>
      <xdr:row>18</xdr:row>
      <xdr:rowOff>96836</xdr:rowOff>
    </xdr:from>
    <xdr:to>
      <xdr:col>13</xdr:col>
      <xdr:colOff>400846</xdr:colOff>
      <xdr:row>33</xdr:row>
      <xdr:rowOff>22225</xdr:rowOff>
    </xdr:to>
    <xdr:graphicFrame macro="">
      <xdr:nvGraphicFramePr>
        <xdr:cNvPr id="2" name="Chart 1">
          <a:extLst>
            <a:ext uri="{FF2B5EF4-FFF2-40B4-BE49-F238E27FC236}">
              <a16:creationId xmlns:a16="http://schemas.microsoft.com/office/drawing/2014/main" id="{EA5EA413-7173-4461-8B83-4C775B2FF9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144859</xdr:colOff>
      <xdr:row>45</xdr:row>
      <xdr:rowOff>47227</xdr:rowOff>
    </xdr:from>
    <xdr:to>
      <xdr:col>13</xdr:col>
      <xdr:colOff>351234</xdr:colOff>
      <xdr:row>59</xdr:row>
      <xdr:rowOff>151208</xdr:rowOff>
    </xdr:to>
    <xdr:graphicFrame macro="">
      <xdr:nvGraphicFramePr>
        <xdr:cNvPr id="5" name="Chart 4">
          <a:extLst>
            <a:ext uri="{FF2B5EF4-FFF2-40B4-BE49-F238E27FC236}">
              <a16:creationId xmlns:a16="http://schemas.microsoft.com/office/drawing/2014/main" id="{55C9333F-A384-4117-947E-8127516FCD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89297</xdr:colOff>
      <xdr:row>0</xdr:row>
      <xdr:rowOff>327422</xdr:rowOff>
    </xdr:from>
    <xdr:to>
      <xdr:col>19</xdr:col>
      <xdr:colOff>78236</xdr:colOff>
      <xdr:row>6</xdr:row>
      <xdr:rowOff>158371</xdr:rowOff>
    </xdr:to>
    <xdr:pic>
      <xdr:nvPicPr>
        <xdr:cNvPr id="6" name="Picture 5">
          <a:extLst>
            <a:ext uri="{FF2B5EF4-FFF2-40B4-BE49-F238E27FC236}">
              <a16:creationId xmlns:a16="http://schemas.microsoft.com/office/drawing/2014/main" id="{BA9644A9-F2C2-4831-AA2C-A9FDEDE32C97}"/>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7074297" y="327422"/>
          <a:ext cx="4225581" cy="1408527"/>
        </a:xfrm>
        <a:prstGeom prst="rect">
          <a:avLst/>
        </a:prstGeom>
      </xdr:spPr>
    </xdr:pic>
    <xdr:clientData/>
  </xdr:twoCellAnchor>
  <xdr:twoCellAnchor>
    <xdr:from>
      <xdr:col>12</xdr:col>
      <xdr:colOff>188517</xdr:colOff>
      <xdr:row>7</xdr:row>
      <xdr:rowOff>188514</xdr:rowOff>
    </xdr:from>
    <xdr:to>
      <xdr:col>20</xdr:col>
      <xdr:colOff>69453</xdr:colOff>
      <xdr:row>22</xdr:row>
      <xdr:rowOff>128984</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US" sz="12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 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mn-lt"/>
                  <a:ea typeface="+mn-ea"/>
                  <a:cs typeface="+mn-cs"/>
                </a:rPr>
                <a:t>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 =</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US" sz="1200" b="0">
                <a:solidFill>
                  <a:schemeClr val="tx1"/>
                </a:solidFill>
              </a:endParaRPr>
            </a:p>
          </xdr:txBody>
        </xdr:sp>
      </mc:Fallback>
    </mc:AlternateContent>
    <xdr:clientData/>
  </xdr:twoCellAnchor>
  <xdr:twoCellAnchor editAs="oneCell">
    <xdr:from>
      <xdr:col>24</xdr:col>
      <xdr:colOff>257969</xdr:colOff>
      <xdr:row>0</xdr:row>
      <xdr:rowOff>208359</xdr:rowOff>
    </xdr:from>
    <xdr:to>
      <xdr:col>32</xdr:col>
      <xdr:colOff>62310</xdr:colOff>
      <xdr:row>31</xdr:row>
      <xdr:rowOff>12699</xdr:rowOff>
    </xdr:to>
    <xdr:pic>
      <xdr:nvPicPr>
        <xdr:cNvPr id="3" name="Picture 2">
          <a:extLst>
            <a:ext uri="{FF2B5EF4-FFF2-40B4-BE49-F238E27FC236}">
              <a16:creationId xmlns:a16="http://schemas.microsoft.com/office/drawing/2014/main" id="{58D33FE7-B85C-28F2-1D3E-C1AADDAF597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587616" y="208359"/>
          <a:ext cx="4645282" cy="6247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437029</xdr:colOff>
      <xdr:row>24</xdr:row>
      <xdr:rowOff>0</xdr:rowOff>
    </xdr:from>
    <xdr:to>
      <xdr:col>22</xdr:col>
      <xdr:colOff>406884</xdr:colOff>
      <xdr:row>38</xdr:row>
      <xdr:rowOff>171846</xdr:rowOff>
    </xdr:to>
    <xdr:pic>
      <xdr:nvPicPr>
        <xdr:cNvPr id="8" name="Picture 7">
          <a:extLst>
            <a:ext uri="{FF2B5EF4-FFF2-40B4-BE49-F238E27FC236}">
              <a16:creationId xmlns:a16="http://schemas.microsoft.com/office/drawing/2014/main" id="{4B8D0D96-6874-F06E-75A5-F455239022F6}"/>
            </a:ext>
          </a:extLst>
        </xdr:cNvPr>
        <xdr:cNvPicPr>
          <a:picLocks noChangeAspect="1"/>
        </xdr:cNvPicPr>
      </xdr:nvPicPr>
      <xdr:blipFill>
        <a:blip xmlns:r="http://schemas.openxmlformats.org/officeDocument/2006/relationships" r:embed="rId5"/>
        <a:stretch>
          <a:fillRect/>
        </a:stretch>
      </xdr:blipFill>
      <xdr:spPr>
        <a:xfrm>
          <a:off x="9715500" y="5109882"/>
          <a:ext cx="4810796" cy="283884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75409</xdr:colOff>
      <xdr:row>17</xdr:row>
      <xdr:rowOff>106758</xdr:rowOff>
    </xdr:from>
    <xdr:to>
      <xdr:col>13</xdr:col>
      <xdr:colOff>410768</xdr:colOff>
      <xdr:row>32</xdr:row>
      <xdr:rowOff>32147</xdr:rowOff>
    </xdr:to>
    <xdr:graphicFrame macro="">
      <xdr:nvGraphicFramePr>
        <xdr:cNvPr id="2" name="Chart 1">
          <a:extLst>
            <a:ext uri="{FF2B5EF4-FFF2-40B4-BE49-F238E27FC236}">
              <a16:creationId xmlns:a16="http://schemas.microsoft.com/office/drawing/2014/main" id="{94B5C74E-5425-47ED-B50C-0FD9ECDCB8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154782</xdr:colOff>
      <xdr:row>44</xdr:row>
      <xdr:rowOff>27383</xdr:rowOff>
    </xdr:from>
    <xdr:to>
      <xdr:col>13</xdr:col>
      <xdr:colOff>361157</xdr:colOff>
      <xdr:row>58</xdr:row>
      <xdr:rowOff>131364</xdr:rowOff>
    </xdr:to>
    <xdr:graphicFrame macro="">
      <xdr:nvGraphicFramePr>
        <xdr:cNvPr id="4" name="Chart 3">
          <a:extLst>
            <a:ext uri="{FF2B5EF4-FFF2-40B4-BE49-F238E27FC236}">
              <a16:creationId xmlns:a16="http://schemas.microsoft.com/office/drawing/2014/main" id="{3D74667E-7697-47A9-A256-0ACACFDBF9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9922</xdr:colOff>
      <xdr:row>0</xdr:row>
      <xdr:rowOff>297657</xdr:rowOff>
    </xdr:from>
    <xdr:to>
      <xdr:col>17</xdr:col>
      <xdr:colOff>81805</xdr:colOff>
      <xdr:row>5</xdr:row>
      <xdr:rowOff>138907</xdr:rowOff>
    </xdr:to>
    <xdr:pic>
      <xdr:nvPicPr>
        <xdr:cNvPr id="7" name="Picture 6">
          <a:extLst>
            <a:ext uri="{FF2B5EF4-FFF2-40B4-BE49-F238E27FC236}">
              <a16:creationId xmlns:a16="http://schemas.microsoft.com/office/drawing/2014/main" id="{31BDABB9-5AA8-49F6-963D-694EF8470A11}"/>
            </a:ext>
          </a:extLst>
        </xdr:cNvPr>
        <xdr:cNvPicPr/>
      </xdr:nvPicPr>
      <xdr:blipFill>
        <a:blip xmlns:r="http://schemas.openxmlformats.org/officeDocument/2006/relationships" r:embed="rId3" cstate="hqprint">
          <a:extLst>
            <a:ext uri="{BEBA8EAE-BF5A-486C-A8C5-ECC9F3942E4B}">
              <a14:imgProps xmlns:a14="http://schemas.microsoft.com/office/drawing/2010/main">
                <a14:imgLayer r:embed="rId4">
                  <a14:imgEffect>
                    <a14:artisticPhotocopy/>
                  </a14:imgEffect>
                </a14:imgLayer>
              </a14:imgProps>
            </a:ext>
            <a:ext uri="{28A0092B-C50C-407E-A947-70E740481C1C}">
              <a14:useLocalDpi xmlns:a14="http://schemas.microsoft.com/office/drawing/2010/main" val="0"/>
            </a:ext>
          </a:extLst>
        </a:blip>
        <a:stretch>
          <a:fillRect/>
        </a:stretch>
      </xdr:blipFill>
      <xdr:spPr>
        <a:xfrm>
          <a:off x="7262813" y="297657"/>
          <a:ext cx="3098055" cy="1230313"/>
        </a:xfrm>
        <a:prstGeom prst="rect">
          <a:avLst/>
        </a:prstGeom>
      </xdr:spPr>
    </xdr:pic>
    <xdr:clientData/>
  </xdr:twoCellAnchor>
  <xdr:twoCellAnchor>
    <xdr:from>
      <xdr:col>13</xdr:col>
      <xdr:colOff>596511</xdr:colOff>
      <xdr:row>6</xdr:row>
      <xdr:rowOff>67875</xdr:rowOff>
    </xdr:from>
    <xdr:to>
      <xdr:col>22</xdr:col>
      <xdr:colOff>24096</xdr:colOff>
      <xdr:row>22</xdr:row>
      <xdr:rowOff>11046</xdr:rowOff>
    </xdr:to>
    <mc:AlternateContent xmlns:mc="http://schemas.openxmlformats.org/markup-compatibility/2006" xmlns:a14="http://schemas.microsoft.com/office/drawing/2010/main">
      <mc:Choice Requires="a14">
        <xdr:sp macro="" textlink="">
          <xdr:nvSpPr>
            <xdr:cNvPr id="8" name="Content Placeholder 2">
              <a:extLst>
                <a:ext uri="{FF2B5EF4-FFF2-40B4-BE49-F238E27FC236}">
                  <a16:creationId xmlns:a16="http://schemas.microsoft.com/office/drawing/2014/main" id="{A36A58CB-3A34-40AF-A535-C6A94349FE59}"/>
                </a:ext>
              </a:extLst>
            </xdr:cNvPr>
            <xdr:cNvSpPr txBox="1">
              <a:spLocks/>
            </xdr:cNvSpPr>
          </xdr:nvSpPr>
          <xdr:spPr>
            <a:xfrm>
              <a:off x="9082420" y="1678466"/>
              <a:ext cx="4882812" cy="304312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1st Order Unity-Gain HPF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𝑜𝑢𝑡</m:t>
                          </m:r>
                        </m:sub>
                      </m:sSub>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den>
                  </m:f>
                  <m:r>
                    <a:rPr lang="en-CA" sz="1200" b="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CA" sz="1200" b="1" i="1" kern="1200">
                      <a:solidFill>
                        <a:schemeClr val="tx1"/>
                      </a:solidFill>
                      <a:effectLst/>
                      <a:latin typeface="Cambria Math" panose="02040503050406030204" pitchFamily="18" charset="0"/>
                      <a:ea typeface="+mn-ea"/>
                      <a:cs typeface="+mn-cs"/>
                    </a:rPr>
                    <m:t>→</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𝐺𝑎𝑖𝑛</m:t>
                      </m:r>
                    </m:e>
                    <m:sub>
                      <m:r>
                        <a:rPr lang="en-CA" sz="1200" b="0" i="1" kern="1200">
                          <a:solidFill>
                            <a:schemeClr val="tx1"/>
                          </a:solidFill>
                          <a:effectLst/>
                          <a:latin typeface="Cambria Math" panose="02040503050406030204" pitchFamily="18" charset="0"/>
                          <a:ea typeface="+mn-ea"/>
                          <a:cs typeface="+mn-cs"/>
                        </a:rPr>
                        <m:t>𝑑𝑏</m:t>
                      </m:r>
                    </m:sub>
                  </m:sSub>
                  <m:r>
                    <a:rPr lang="en-CA" sz="1200" b="0" i="1" kern="1200">
                      <a:solidFill>
                        <a:schemeClr val="tx1"/>
                      </a:solidFill>
                      <a:effectLst/>
                      <a:latin typeface="Cambria Math" panose="02040503050406030204" pitchFamily="18" charset="0"/>
                      <a:ea typeface="+mn-ea"/>
                      <a:cs typeface="+mn-cs"/>
                    </a:rPr>
                    <m:t>=20</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𝑙𝑜𝑔</m:t>
                  </m:r>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sub>
                              </m:sSub>
                            </m:den>
                          </m:f>
                        </m:num>
                        <m:den>
                          <m:rad>
                            <m:radPr>
                              <m:degHide m:val="on"/>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e>
                  </m:d>
                </m:oMath>
              </a14:m>
              <a:endParaRPr lang="en-CA" sz="1200" b="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oMath>
              </a14:m>
              <a:endParaRPr lang="en-CA" sz="1200" kern="1200">
                <a:solidFill>
                  <a:schemeClr val="tx1"/>
                </a:solidFill>
                <a:effectLst/>
                <a:latin typeface="+mn-lt"/>
                <a:ea typeface="+mn-ea"/>
                <a:cs typeface="+mn-cs"/>
              </a:endParaRPr>
            </a:p>
          </xdr:txBody>
        </xdr:sp>
      </mc:Choice>
      <mc:Fallback xmlns="">
        <xdr:sp macro="" textlink="">
          <xdr:nvSpPr>
            <xdr:cNvPr id="8" name="Content Placeholder 2">
              <a:extLst>
                <a:ext uri="{FF2B5EF4-FFF2-40B4-BE49-F238E27FC236}">
                  <a16:creationId xmlns:a16="http://schemas.microsoft.com/office/drawing/2014/main" id="{A36A58CB-3A34-40AF-A535-C6A94349FE59}"/>
                </a:ext>
              </a:extLst>
            </xdr:cNvPr>
            <xdr:cNvSpPr txBox="1">
              <a:spLocks/>
            </xdr:cNvSpPr>
          </xdr:nvSpPr>
          <xdr:spPr>
            <a:xfrm>
              <a:off x="9082420" y="1678466"/>
              <a:ext cx="4882812" cy="304312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1st Order Unity-Gain HPF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𝑣=1</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0" i="0" kern="1200">
                  <a:solidFill>
                    <a:schemeClr val="tx1"/>
                  </a:solidFill>
                  <a:effectLst/>
                  <a:latin typeface="Cambria Math" panose="02040503050406030204" pitchFamily="18" charset="0"/>
                  <a:ea typeface="+mn-ea"/>
                  <a:cs typeface="+mn-cs"/>
                </a:rPr>
                <a:t>𝑉</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𝑜𝑢𝑡</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𝑉</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𝑖𝑛</a:t>
              </a:r>
              <a:r>
                <a:rPr lang="en-US" sz="1200" b="0" i="0" kern="1200">
                  <a:solidFill>
                    <a:schemeClr val="tx1"/>
                  </a:solidFill>
                  <a:effectLst/>
                  <a:latin typeface="Cambria Math" panose="02040503050406030204" pitchFamily="18" charset="0"/>
                  <a:ea typeface="+mn-ea"/>
                  <a:cs typeface="+mn-cs"/>
                </a:rPr>
                <a:t> </a:t>
              </a:r>
              <a:r>
                <a:rPr lang="en-CA" sz="1200" b="0"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〖𝐺𝑎𝑖𝑛〗_𝑑𝑏=20</a:t>
              </a:r>
              <a:r>
                <a:rPr lang="en-CA" sz="1200" b="0" i="0" kern="1200">
                  <a:solidFill>
                    <a:schemeClr val="tx1"/>
                  </a:solidFill>
                  <a:effectLst/>
                  <a:latin typeface="Cambria Math" panose="02040503050406030204" pitchFamily="18" charset="0"/>
                  <a:ea typeface="Cambria Math" panose="02040503050406030204" pitchFamily="18" charset="0"/>
                  <a:cs typeface="+mn-cs"/>
                </a:rPr>
                <a:t>×𝑙𝑜𝑔((𝑓/𝑓_𝑐 )/√(1+(𝑓/𝑓_𝑐 )^2 ))</a:t>
              </a:r>
              <a:endParaRPr lang="en-CA" sz="1200" b="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(𝑅_1/√(〖𝑅_1〗^2+〖𝑋_𝐶〗^2 ))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22</xdr:col>
      <xdr:colOff>458033</xdr:colOff>
      <xdr:row>0</xdr:row>
      <xdr:rowOff>225135</xdr:rowOff>
    </xdr:from>
    <xdr:to>
      <xdr:col>29</xdr:col>
      <xdr:colOff>558581</xdr:colOff>
      <xdr:row>42</xdr:row>
      <xdr:rowOff>69584</xdr:rowOff>
    </xdr:to>
    <xdr:pic>
      <xdr:nvPicPr>
        <xdr:cNvPr id="9" name="Picture 8">
          <a:extLst>
            <a:ext uri="{FF2B5EF4-FFF2-40B4-BE49-F238E27FC236}">
              <a16:creationId xmlns:a16="http://schemas.microsoft.com/office/drawing/2014/main" id="{DAB103AB-7795-4C0B-AD8A-933E04D7A915}"/>
            </a:ext>
          </a:extLst>
        </xdr:cNvPr>
        <xdr:cNvPicPr>
          <a:picLocks noChangeAspect="1"/>
        </xdr:cNvPicPr>
      </xdr:nvPicPr>
      <xdr:blipFill>
        <a:blip xmlns:r="http://schemas.openxmlformats.org/officeDocument/2006/relationships" r:embed="rId5"/>
        <a:stretch>
          <a:fillRect/>
        </a:stretch>
      </xdr:blipFill>
      <xdr:spPr>
        <a:xfrm>
          <a:off x="14399169" y="225135"/>
          <a:ext cx="4343503" cy="8364994"/>
        </a:xfrm>
        <a:prstGeom prst="rect">
          <a:avLst/>
        </a:prstGeom>
      </xdr:spPr>
    </xdr:pic>
    <xdr:clientData/>
  </xdr:twoCellAnchor>
  <xdr:twoCellAnchor editAs="oneCell">
    <xdr:from>
      <xdr:col>14</xdr:col>
      <xdr:colOff>0</xdr:colOff>
      <xdr:row>24</xdr:row>
      <xdr:rowOff>1</xdr:rowOff>
    </xdr:from>
    <xdr:to>
      <xdr:col>22</xdr:col>
      <xdr:colOff>382766</xdr:colOff>
      <xdr:row>41</xdr:row>
      <xdr:rowOff>145677</xdr:rowOff>
    </xdr:to>
    <xdr:pic>
      <xdr:nvPicPr>
        <xdr:cNvPr id="3" name="Picture 2">
          <a:extLst>
            <a:ext uri="{FF2B5EF4-FFF2-40B4-BE49-F238E27FC236}">
              <a16:creationId xmlns:a16="http://schemas.microsoft.com/office/drawing/2014/main" id="{55161F68-0760-713C-54B6-0AA4B65C0D7C}"/>
            </a:ext>
          </a:extLst>
        </xdr:cNvPr>
        <xdr:cNvPicPr>
          <a:picLocks noChangeAspect="1"/>
        </xdr:cNvPicPr>
      </xdr:nvPicPr>
      <xdr:blipFill>
        <a:blip xmlns:r="http://schemas.openxmlformats.org/officeDocument/2006/relationships" r:embed="rId6"/>
        <a:stretch>
          <a:fillRect/>
        </a:stretch>
      </xdr:blipFill>
      <xdr:spPr>
        <a:xfrm>
          <a:off x="9065559" y="5053854"/>
          <a:ext cx="5223707" cy="3384176"/>
        </a:xfrm>
        <a:prstGeom prst="rect">
          <a:avLst/>
        </a:prstGeom>
      </xdr:spPr>
    </xdr:pic>
    <xdr:clientData/>
  </xdr:twoCellAnchor>
  <xdr:twoCellAnchor editAs="oneCell">
    <xdr:from>
      <xdr:col>19</xdr:col>
      <xdr:colOff>470647</xdr:colOff>
      <xdr:row>32</xdr:row>
      <xdr:rowOff>168088</xdr:rowOff>
    </xdr:from>
    <xdr:to>
      <xdr:col>21</xdr:col>
      <xdr:colOff>279729</xdr:colOff>
      <xdr:row>35</xdr:row>
      <xdr:rowOff>25273</xdr:rowOff>
    </xdr:to>
    <xdr:pic>
      <xdr:nvPicPr>
        <xdr:cNvPr id="5" name="Picture 4">
          <a:extLst>
            <a:ext uri="{FF2B5EF4-FFF2-40B4-BE49-F238E27FC236}">
              <a16:creationId xmlns:a16="http://schemas.microsoft.com/office/drawing/2014/main" id="{6BB06494-889C-A343-0B8B-14B8F471B71C}"/>
            </a:ext>
          </a:extLst>
        </xdr:cNvPr>
        <xdr:cNvPicPr>
          <a:picLocks noChangeAspect="1"/>
        </xdr:cNvPicPr>
      </xdr:nvPicPr>
      <xdr:blipFill>
        <a:blip xmlns:r="http://schemas.openxmlformats.org/officeDocument/2006/relationships" r:embed="rId7"/>
        <a:stretch>
          <a:fillRect/>
        </a:stretch>
      </xdr:blipFill>
      <xdr:spPr>
        <a:xfrm>
          <a:off x="12561794" y="6745941"/>
          <a:ext cx="1019317" cy="42868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65487</xdr:colOff>
      <xdr:row>19</xdr:row>
      <xdr:rowOff>96836</xdr:rowOff>
    </xdr:from>
    <xdr:to>
      <xdr:col>13</xdr:col>
      <xdr:colOff>400846</xdr:colOff>
      <xdr:row>34</xdr:row>
      <xdr:rowOff>22225</xdr:rowOff>
    </xdr:to>
    <xdr:graphicFrame macro="">
      <xdr:nvGraphicFramePr>
        <xdr:cNvPr id="2" name="Chart 1">
          <a:extLst>
            <a:ext uri="{FF2B5EF4-FFF2-40B4-BE49-F238E27FC236}">
              <a16:creationId xmlns:a16="http://schemas.microsoft.com/office/drawing/2014/main" id="{28891F8E-9703-495C-A7E1-99185C9654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269417</xdr:colOff>
      <xdr:row>45</xdr:row>
      <xdr:rowOff>186439</xdr:rowOff>
    </xdr:from>
    <xdr:to>
      <xdr:col>16</xdr:col>
      <xdr:colOff>600350</xdr:colOff>
      <xdr:row>60</xdr:row>
      <xdr:rowOff>92593</xdr:rowOff>
    </xdr:to>
    <xdr:graphicFrame macro="">
      <xdr:nvGraphicFramePr>
        <xdr:cNvPr id="3" name="Chart 2">
          <a:extLst>
            <a:ext uri="{FF2B5EF4-FFF2-40B4-BE49-F238E27FC236}">
              <a16:creationId xmlns:a16="http://schemas.microsoft.com/office/drawing/2014/main" id="{58507AFB-105E-4AD4-80D1-29AB36E57C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205835</xdr:colOff>
      <xdr:row>6</xdr:row>
      <xdr:rowOff>125303</xdr:rowOff>
    </xdr:from>
    <xdr:to>
      <xdr:col>20</xdr:col>
      <xdr:colOff>86771</xdr:colOff>
      <xdr:row>22</xdr:row>
      <xdr:rowOff>88656</xdr:rowOff>
    </xdr:to>
    <mc:AlternateContent xmlns:mc="http://schemas.openxmlformats.org/markup-compatibility/2006" xmlns:a14="http://schemas.microsoft.com/office/drawing/2010/main">
      <mc:Choice Requires="a14">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d>
                        <m:dPr>
                          <m:ctrlPr>
                            <a:rPr lang="en-US" sz="120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US" sz="120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mn-ea"/>
                              <a:cs typeface="+mn-cs"/>
                            </a:rPr>
                          </m:ctrlPr>
                        </m:radPr>
                        <m:deg/>
                        <m:e>
                          <m:r>
                            <a:rPr lang="en-CA" sz="1200" b="0" i="1" kern="1200">
                              <a:solidFill>
                                <a:schemeClr val="tx1"/>
                              </a:solidFill>
                              <a:effectLst/>
                              <a:latin typeface="Cambria Math" panose="02040503050406030204" pitchFamily="18" charset="0"/>
                              <a:ea typeface="+mn-ea"/>
                              <a:cs typeface="+mn-cs"/>
                            </a:rPr>
                            <m:t>1+</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Choice>
      <mc:Fallback xmlns="">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𝑉_𝑖𝑛  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_(</a:t>
              </a:r>
              <a:r>
                <a:rPr lang="en-CA" sz="1200" b="0" i="0" kern="1200">
                  <a:solidFill>
                    <a:schemeClr val="tx1"/>
                  </a:solidFill>
                  <a:effectLst/>
                  <a:latin typeface="Cambria Math" panose="02040503050406030204" pitchFamily="18" charset="0"/>
                  <a:ea typeface="Cambria Math" panose="02040503050406030204" pitchFamily="18" charset="0"/>
                  <a:cs typeface="+mn-cs"/>
                </a:rPr>
                <a:t>𝑐,𝐻𝑃𝐹</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1+(𝑓/𝑓_(𝑐,𝐻𝑃𝐹) )^2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𝑣≈1; 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 =</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𝑐,𝐻𝑃𝐹</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 )</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1+(𝑓/𝑓_(𝑐,𝐻𝑃𝐹) )^2 </a:t>
              </a:r>
              <a:r>
                <a:rPr lang="en-US" sz="1200" b="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Fallback>
    </mc:AlternateContent>
    <xdr:clientData/>
  </xdr:twoCellAnchor>
  <xdr:twoCellAnchor editAs="oneCell">
    <xdr:from>
      <xdr:col>12</xdr:col>
      <xdr:colOff>259773</xdr:colOff>
      <xdr:row>0</xdr:row>
      <xdr:rowOff>330782</xdr:rowOff>
    </xdr:from>
    <xdr:to>
      <xdr:col>20</xdr:col>
      <xdr:colOff>52820</xdr:colOff>
      <xdr:row>5</xdr:row>
      <xdr:rowOff>179242</xdr:rowOff>
    </xdr:to>
    <xdr:pic>
      <xdr:nvPicPr>
        <xdr:cNvPr id="7" name="Picture 6">
          <a:extLst>
            <a:ext uri="{FF2B5EF4-FFF2-40B4-BE49-F238E27FC236}">
              <a16:creationId xmlns:a16="http://schemas.microsoft.com/office/drawing/2014/main" id="{307B201A-4819-A1A2-15A3-BAFA94286AF6}"/>
            </a:ext>
          </a:extLst>
        </xdr:cNvPr>
        <xdr:cNvPicPr>
          <a:picLocks noChangeAspect="1"/>
        </xdr:cNvPicPr>
      </xdr:nvPicPr>
      <xdr:blipFill>
        <a:blip xmlns:r="http://schemas.openxmlformats.org/officeDocument/2006/relationships" r:embed="rId3"/>
        <a:stretch>
          <a:fillRect/>
        </a:stretch>
      </xdr:blipFill>
      <xdr:spPr>
        <a:xfrm>
          <a:off x="8148205" y="330782"/>
          <a:ext cx="4676774" cy="1233915"/>
        </a:xfrm>
        <a:prstGeom prst="rect">
          <a:avLst/>
        </a:prstGeom>
      </xdr:spPr>
    </xdr:pic>
    <xdr:clientData/>
  </xdr:twoCellAnchor>
  <xdr:twoCellAnchor>
    <xdr:from>
      <xdr:col>15</xdr:col>
      <xdr:colOff>349494</xdr:colOff>
      <xdr:row>23</xdr:row>
      <xdr:rowOff>160460</xdr:rowOff>
    </xdr:from>
    <xdr:to>
      <xdr:col>17</xdr:col>
      <xdr:colOff>605350</xdr:colOff>
      <xdr:row>31</xdr:row>
      <xdr:rowOff>77665</xdr:rowOff>
    </xdr:to>
    <mc:AlternateContent xmlns:mc="http://schemas.openxmlformats.org/markup-compatibility/2006" xmlns:a14="http://schemas.microsoft.com/office/drawing/2010/main">
      <mc:Choice Requires="a14">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𝒓</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ad>
                      <m:radPr>
                        <m:degHide m:val="on"/>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𝑯𝑷𝑭</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𝑳𝑷𝑭</m:t>
                            </m:r>
                          </m:sub>
                        </m:sSub>
                      </m:e>
                    </m:rad>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𝐿𝑃𝐹</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𝐻𝑃𝐹</m:t>
                        </m:r>
                      </m:sub>
                    </m:sSub>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𝑄</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𝐵𝑃</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𝑟</m:t>
                            </m:r>
                          </m:sub>
                        </m:sSub>
                      </m:num>
                      <m:den>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den>
                    </m:f>
                  </m:oMath>
                </m:oMathPara>
              </a14:m>
              <a:endParaRPr lang="en-CA" sz="1200">
                <a:effectLst/>
                <a:latin typeface="Times New Roman" panose="02020603050405020304" pitchFamily="18" charset="0"/>
                <a:ea typeface="Times New Roman" panose="02020603050405020304" pitchFamily="18" charset="0"/>
              </a:endParaRPr>
            </a:p>
          </xdr:txBody>
        </xdr:sp>
      </mc:Choice>
      <mc:Fallback xmlns="">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𝒓=</a:t>
              </a:r>
              <a:r>
                <a:rPr lang="en-CA" sz="1000" b="1" i="0" kern="1200">
                  <a:solidFill>
                    <a:srgbClr val="000000"/>
                  </a:solidFill>
                  <a:effectLst/>
                  <a:latin typeface="Cambria Math" panose="020405030504060302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𝒄,𝑯𝑷𝑭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𝒄,𝑳𝑷𝑭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r>
                <a:rPr lang="en-CA" sz="1000" i="0" kern="1200">
                  <a:solidFill>
                    <a:srgbClr val="000000"/>
                  </a:solidFill>
                  <a:effectLst/>
                  <a:latin typeface="Cambria Math" panose="020405030504060302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𝑐,𝐿𝑃𝐹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𝑐,𝐻𝑃𝐹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𝑄</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𝐵𝑃=𝑓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𝑟</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 </a:t>
              </a:r>
              <a:endParaRPr lang="en-CA" sz="1200">
                <a:effectLst/>
                <a:latin typeface="Times New Roman" panose="02020603050405020304" pitchFamily="18" charset="0"/>
                <a:ea typeface="Times New Roman" panose="02020603050405020304" pitchFamily="18" charset="0"/>
              </a:endParaRPr>
            </a:p>
          </xdr:txBody>
        </xdr:sp>
      </mc:Fallback>
    </mc:AlternateContent>
    <xdr:clientData/>
  </xdr:twoCellAnchor>
  <xdr:twoCellAnchor editAs="oneCell">
    <xdr:from>
      <xdr:col>20</xdr:col>
      <xdr:colOff>448235</xdr:colOff>
      <xdr:row>5</xdr:row>
      <xdr:rowOff>67236</xdr:rowOff>
    </xdr:from>
    <xdr:to>
      <xdr:col>32</xdr:col>
      <xdr:colOff>312518</xdr:colOff>
      <xdr:row>37</xdr:row>
      <xdr:rowOff>114616</xdr:rowOff>
    </xdr:to>
    <xdr:pic>
      <xdr:nvPicPr>
        <xdr:cNvPr id="4" name="Picture 3">
          <a:extLst>
            <a:ext uri="{FF2B5EF4-FFF2-40B4-BE49-F238E27FC236}">
              <a16:creationId xmlns:a16="http://schemas.microsoft.com/office/drawing/2014/main" id="{48D1FCFF-00B9-C299-D053-C44D39204CED}"/>
            </a:ext>
          </a:extLst>
        </xdr:cNvPr>
        <xdr:cNvPicPr>
          <a:picLocks noChangeAspect="1"/>
        </xdr:cNvPicPr>
      </xdr:nvPicPr>
      <xdr:blipFill>
        <a:blip xmlns:r="http://schemas.openxmlformats.org/officeDocument/2006/relationships" r:embed="rId4"/>
        <a:stretch>
          <a:fillRect/>
        </a:stretch>
      </xdr:blipFill>
      <xdr:spPr>
        <a:xfrm>
          <a:off x="13256559" y="1467971"/>
          <a:ext cx="7125694" cy="6277851"/>
        </a:xfrm>
        <a:prstGeom prst="rect">
          <a:avLst/>
        </a:prstGeom>
      </xdr:spPr>
    </xdr:pic>
    <xdr:clientData/>
  </xdr:twoCellAnchor>
  <xdr:twoCellAnchor editAs="oneCell">
    <xdr:from>
      <xdr:col>20</xdr:col>
      <xdr:colOff>481852</xdr:colOff>
      <xdr:row>36</xdr:row>
      <xdr:rowOff>156882</xdr:rowOff>
    </xdr:from>
    <xdr:to>
      <xdr:col>33</xdr:col>
      <xdr:colOff>36334</xdr:colOff>
      <xdr:row>52</xdr:row>
      <xdr:rowOff>41312</xdr:rowOff>
    </xdr:to>
    <xdr:pic>
      <xdr:nvPicPr>
        <xdr:cNvPr id="6" name="Picture 5">
          <a:extLst>
            <a:ext uri="{FF2B5EF4-FFF2-40B4-BE49-F238E27FC236}">
              <a16:creationId xmlns:a16="http://schemas.microsoft.com/office/drawing/2014/main" id="{2C976813-03AF-5F1C-2FD4-BF7125C889E1}"/>
            </a:ext>
          </a:extLst>
        </xdr:cNvPr>
        <xdr:cNvPicPr>
          <a:picLocks noChangeAspect="1"/>
        </xdr:cNvPicPr>
      </xdr:nvPicPr>
      <xdr:blipFill>
        <a:blip xmlns:r="http://schemas.openxmlformats.org/officeDocument/2006/relationships" r:embed="rId5"/>
        <a:stretch>
          <a:fillRect/>
        </a:stretch>
      </xdr:blipFill>
      <xdr:spPr>
        <a:xfrm>
          <a:off x="13290176" y="7597588"/>
          <a:ext cx="7421011" cy="294363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182562</xdr:colOff>
      <xdr:row>9</xdr:row>
      <xdr:rowOff>132952</xdr:rowOff>
    </xdr:from>
    <xdr:to>
      <xdr:col>16</xdr:col>
      <xdr:colOff>59531</xdr:colOff>
      <xdr:row>14</xdr:row>
      <xdr:rowOff>5021</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11</xdr:col>
      <xdr:colOff>444501</xdr:colOff>
      <xdr:row>0</xdr:row>
      <xdr:rowOff>373062</xdr:rowOff>
    </xdr:from>
    <xdr:to>
      <xdr:col>16</xdr:col>
      <xdr:colOff>330201</xdr:colOff>
      <xdr:row>9</xdr:row>
      <xdr:rowOff>69849</xdr:rowOff>
    </xdr:to>
    <xdr:pic>
      <xdr:nvPicPr>
        <xdr:cNvPr id="3" name="Picture 2">
          <a:extLst>
            <a:ext uri="{FF2B5EF4-FFF2-40B4-BE49-F238E27FC236}">
              <a16:creationId xmlns:a16="http://schemas.microsoft.com/office/drawing/2014/main" id="{688B11F5-8F9B-4742-A0C5-BC4CE17224DD}"/>
            </a:ext>
          </a:extLst>
        </xdr:cNvPr>
        <xdr:cNvPicPr>
          <a:picLocks noChangeAspect="1"/>
        </xdr:cNvPicPr>
      </xdr:nvPicPr>
      <xdr:blipFill>
        <a:blip xmlns:r="http://schemas.openxmlformats.org/officeDocument/2006/relationships" r:embed="rId2"/>
        <a:stretch>
          <a:fillRect/>
        </a:stretch>
      </xdr:blipFill>
      <xdr:spPr>
        <a:xfrm>
          <a:off x="7161610" y="373062"/>
          <a:ext cx="2911872" cy="1879600"/>
        </a:xfrm>
        <a:prstGeom prst="rect">
          <a:avLst/>
        </a:prstGeom>
      </xdr:spPr>
    </xdr:pic>
    <xdr:clientData/>
  </xdr:twoCellAnchor>
  <xdr:twoCellAnchor editAs="oneCell">
    <xdr:from>
      <xdr:col>16</xdr:col>
      <xdr:colOff>537917</xdr:colOff>
      <xdr:row>0</xdr:row>
      <xdr:rowOff>337344</xdr:rowOff>
    </xdr:from>
    <xdr:to>
      <xdr:col>21</xdr:col>
      <xdr:colOff>419346</xdr:colOff>
      <xdr:row>9</xdr:row>
      <xdr:rowOff>34131</xdr:rowOff>
    </xdr:to>
    <xdr:pic>
      <xdr:nvPicPr>
        <xdr:cNvPr id="4" name="Picture 3">
          <a:extLst>
            <a:ext uri="{FF2B5EF4-FFF2-40B4-BE49-F238E27FC236}">
              <a16:creationId xmlns:a16="http://schemas.microsoft.com/office/drawing/2014/main" id="{79086D0C-FAD6-4A08-81C2-8FEBDEB5EE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10281198" y="337344"/>
          <a:ext cx="2907601" cy="1879600"/>
        </a:xfrm>
        <a:prstGeom prst="rect">
          <a:avLst/>
        </a:prstGeom>
      </xdr:spPr>
    </xdr:pic>
    <xdr:clientData/>
  </xdr:twoCellAnchor>
  <xdr:twoCellAnchor>
    <xdr:from>
      <xdr:col>17</xdr:col>
      <xdr:colOff>168671</xdr:colOff>
      <xdr:row>9</xdr:row>
      <xdr:rowOff>138906</xdr:rowOff>
    </xdr:from>
    <xdr:to>
      <xdr:col>21</xdr:col>
      <xdr:colOff>45640</xdr:colOff>
      <xdr:row>13</xdr:row>
      <xdr:rowOff>40793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r>
                    <a:rPr lang="en-US" sz="1800" b="0" i="1">
                      <a:latin typeface="Cambria Math" panose="02040503050406030204" pitchFamily="18" charset="0"/>
                    </a:rPr>
                    <m:t>−</m:t>
                  </m:r>
                </m:oMath>
              </a14:m>
              <a:r>
                <a:rPr lang="en-US" sz="1800"/>
                <a:t>V</a:t>
              </a:r>
              <a:r>
                <a:rPr lang="en-US" sz="1800" baseline="-25000"/>
                <a:t>in</a:t>
              </a:r>
              <a:endParaRPr lang="en-US" sz="1800" baseline="30000"/>
            </a:p>
          </xdr:txBody>
        </xdr:sp>
      </mc:Choice>
      <mc:Fallback xmlns="">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b="0" i="0">
                  <a:latin typeface="Cambria Math" panose="02040503050406030204" pitchFamily="18" charset="0"/>
                </a:rPr>
                <a:t>−</a:t>
              </a:r>
              <a:r>
                <a:rPr lang="en-US" sz="1800"/>
                <a:t>V</a:t>
              </a:r>
              <a:r>
                <a:rPr lang="en-US" sz="1800" baseline="-25000"/>
                <a:t>in</a:t>
              </a:r>
              <a:endParaRPr lang="en-US" sz="1800" baseline="30000"/>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7</xdr:col>
      <xdr:colOff>35721</xdr:colOff>
      <xdr:row>18</xdr:row>
      <xdr:rowOff>106758</xdr:rowOff>
    </xdr:from>
    <xdr:to>
      <xdr:col>13</xdr:col>
      <xdr:colOff>371081</xdr:colOff>
      <xdr:row>33</xdr:row>
      <xdr:rowOff>32147</xdr:rowOff>
    </xdr:to>
    <xdr:graphicFrame macro="">
      <xdr:nvGraphicFramePr>
        <xdr:cNvPr id="2" name="Chart 1">
          <a:extLst>
            <a:ext uri="{FF2B5EF4-FFF2-40B4-BE49-F238E27FC236}">
              <a16:creationId xmlns:a16="http://schemas.microsoft.com/office/drawing/2014/main" id="{DA4BBF38-8FA6-47BD-9153-95723699A2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109143</xdr:colOff>
      <xdr:row>0</xdr:row>
      <xdr:rowOff>575468</xdr:rowOff>
    </xdr:from>
    <xdr:to>
      <xdr:col>17</xdr:col>
      <xdr:colOff>476251</xdr:colOff>
      <xdr:row>15</xdr:row>
      <xdr:rowOff>99113</xdr:rowOff>
    </xdr:to>
    <xdr:pic>
      <xdr:nvPicPr>
        <xdr:cNvPr id="5" name="Picture 4">
          <a:extLst>
            <a:ext uri="{FF2B5EF4-FFF2-40B4-BE49-F238E27FC236}">
              <a16:creationId xmlns:a16="http://schemas.microsoft.com/office/drawing/2014/main" id="{A59771DC-3791-4E18-9D46-182047F8D0A0}"/>
            </a:ext>
          </a:extLst>
        </xdr:cNvPr>
        <xdr:cNvPicPr/>
      </xdr:nvPicPr>
      <xdr:blipFill>
        <a:blip xmlns:r="http://schemas.openxmlformats.org/officeDocument/2006/relationships" r:embed="rId2" cstate="hqprint">
          <a:extLst>
            <a:ext uri="{28A0092B-C50C-407E-A947-70E740481C1C}">
              <a14:useLocalDpi xmlns:a14="http://schemas.microsoft.com/office/drawing/2010/main" val="0"/>
            </a:ext>
          </a:extLst>
        </a:blip>
        <a:stretch>
          <a:fillRect/>
        </a:stretch>
      </xdr:blipFill>
      <xdr:spPr>
        <a:xfrm>
          <a:off x="7094143" y="575468"/>
          <a:ext cx="3393280" cy="2847473"/>
        </a:xfrm>
        <a:prstGeom prst="rect">
          <a:avLst/>
        </a:prstGeom>
      </xdr:spPr>
    </xdr:pic>
    <xdr:clientData/>
  </xdr:twoCellAnchor>
  <xdr:twoCellAnchor>
    <xdr:from>
      <xdr:col>13</xdr:col>
      <xdr:colOff>416721</xdr:colOff>
      <xdr:row>16</xdr:row>
      <xdr:rowOff>39687</xdr:rowOff>
    </xdr:from>
    <xdr:to>
      <xdr:col>18</xdr:col>
      <xdr:colOff>314325</xdr:colOff>
      <xdr:row>38</xdr:row>
      <xdr:rowOff>161925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b="1"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sym typeface="Symbol" panose="05050102010706020507" pitchFamily="18" charset="2"/>
                    </a:rPr>
                    <m:t></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i="1" kern="1200">
                          <a:solidFill>
                            <a:schemeClr val="tx1"/>
                          </a:solidFill>
                          <a:effectLst/>
                          <a:latin typeface="Cambria Math" panose="02040503050406030204" pitchFamily="18" charset="0"/>
                          <a:ea typeface="+mn-ea"/>
                          <a:cs typeface="+mn-cs"/>
                        </a:rPr>
                        <m:t> </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CA"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r>
                    <a:rPr lang="en-CA"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rad>
                                <m:radPr>
                                  <m:degHide m:val="on"/>
                                  <m:ctrlPr>
                                    <a:rPr lang="en-CA" sz="1800" b="0" i="1" kern="1200">
                                      <a:solidFill>
                                        <a:schemeClr val="tx1"/>
                                      </a:solidFill>
                                      <a:effectLst/>
                                      <a:latin typeface="Cambria Math" panose="02040503050406030204" pitchFamily="18" charset="0"/>
                                      <a:ea typeface="+mn-ea"/>
                                      <a:cs typeface="+mn-cs"/>
                                    </a:rPr>
                                  </m:ctrlPr>
                                </m:radPr>
                                <m:deg/>
                                <m:e>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𝑋</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r>
                                    <a:rPr lang="en-CA" sz="1800" b="0" i="1" kern="1200">
                                      <a:solidFill>
                                        <a:schemeClr val="tx1"/>
                                      </a:solidFill>
                                      <a:effectLst/>
                                      <a:latin typeface="Cambria Math" panose="02040503050406030204" pitchFamily="18" charset="0"/>
                                      <a:ea typeface="+mn-ea"/>
                                      <a:cs typeface="+mn-cs"/>
                                    </a:rPr>
                                    <m:t>+</m:t>
                                  </m:r>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𝑅</m:t>
                                                  </m:r>
                                                </m:e>
                                                <m:sub>
                                                  <m:r>
                                                    <a:rPr lang="en-CA" sz="1800" b="0" i="1" kern="1200">
                                                      <a:solidFill>
                                                        <a:schemeClr val="tx1"/>
                                                      </a:solidFill>
                                                      <a:effectLst/>
                                                      <a:latin typeface="Cambria Math" panose="02040503050406030204" pitchFamily="18" charset="0"/>
                                                      <a:ea typeface="+mn-ea"/>
                                                      <a:cs typeface="+mn-cs"/>
                                                    </a:rPr>
                                                    <m:t>𝐹</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num>
                        <m:den>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e>
                  </m:d>
                </m:oMath>
              </a14:m>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Choice>
      <mc:Fallback xmlns="">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b="1"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𝐺𝑎𝑖𝑛</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𝑑𝐵=20</a:t>
              </a:r>
              <a:r>
                <a:rPr lang="en-US" sz="1200" i="0" kern="1200">
                  <a:solidFill>
                    <a:schemeClr val="tx1"/>
                  </a:solidFill>
                  <a:effectLst/>
                  <a:latin typeface="Cambria Math" panose="02040503050406030204" pitchFamily="18" charset="0"/>
                  <a:ea typeface="+mn-ea"/>
                  <a:cs typeface="+mn-cs"/>
                  <a:sym typeface="Symbol" panose="05050102010706020507" pitchFamily="18" charset="2"/>
                </a:rPr>
                <a:t></a:t>
              </a:r>
              <a:r>
                <a:rPr lang="en-US" sz="1200" i="0" kern="1200">
                  <a:solidFill>
                    <a:schemeClr val="tx1"/>
                  </a:solidFill>
                  <a:effectLst/>
                  <a:latin typeface="Cambria Math" panose="02040503050406030204" pitchFamily="18" charset="0"/>
                  <a:ea typeface="+mn-ea"/>
                  <a:cs typeface="+mn-cs"/>
                </a:rPr>
                <a:t>𝑙𝑜𝑔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i="0" kern="1200">
                  <a:solidFill>
                    <a:schemeClr val="tx1"/>
                  </a:solidFill>
                  <a:effectLst/>
                  <a:latin typeface="Cambria Math" panose="02040503050406030204" pitchFamily="18" charset="0"/>
                  <a:ea typeface="+mn-ea"/>
                  <a:cs typeface="+mn-cs"/>
                </a:rPr>
                <a:t> ||𝑅_𝐹)/𝑅_1 =((</a:t>
              </a:r>
              <a:r>
                <a:rPr lang="en-CA" sz="1800" b="0" i="0" kern="1200">
                  <a:solidFill>
                    <a:schemeClr val="tx1"/>
                  </a:solidFill>
                  <a:effectLst/>
                  <a:latin typeface="+mn-lt"/>
                  <a:ea typeface="+mn-ea"/>
                  <a:cs typeface="+mn-cs"/>
                </a:rPr>
                <a:t>1/√((1/𝑋_𝑐 )^2+(1/𝑅_𝐹 )^2 )</a:t>
              </a:r>
              <a:r>
                <a:rPr lang="en-CA" sz="1200" b="0" i="0" kern="1200">
                  <a:solidFill>
                    <a:schemeClr val="tx1"/>
                  </a:solidFill>
                  <a:effectLst/>
                  <a:latin typeface="Cambria Math" panose="02040503050406030204" pitchFamily="18" charset="0"/>
                  <a:ea typeface="+mn-ea"/>
                  <a:cs typeface="+mn-cs"/>
                </a:rPr>
                <a:t>)/𝑅_</a:t>
              </a:r>
              <a:r>
                <a:rPr lang="en-CA" sz="1200" i="0" kern="1200">
                  <a:solidFill>
                    <a:schemeClr val="tx1"/>
                  </a:solidFill>
                  <a:effectLst/>
                  <a:latin typeface="Cambria Math" panose="02040503050406030204" pitchFamily="18" charset="0"/>
                  <a:ea typeface="+mn-ea"/>
                  <a:cs typeface="+mn-cs"/>
                </a:rPr>
                <a:t>1 )</a:t>
              </a:r>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Fallback>
    </mc:AlternateContent>
    <xdr:clientData/>
  </xdr:twoCellAnchor>
  <xdr:twoCellAnchor>
    <xdr:from>
      <xdr:col>6</xdr:col>
      <xdr:colOff>244078</xdr:colOff>
      <xdr:row>45</xdr:row>
      <xdr:rowOff>146445</xdr:rowOff>
    </xdr:from>
    <xdr:to>
      <xdr:col>14</xdr:col>
      <xdr:colOff>450453</xdr:colOff>
      <xdr:row>60</xdr:row>
      <xdr:rowOff>61911</xdr:rowOff>
    </xdr:to>
    <xdr:graphicFrame macro="">
      <xdr:nvGraphicFramePr>
        <xdr:cNvPr id="8" name="Chart 7">
          <a:extLst>
            <a:ext uri="{FF2B5EF4-FFF2-40B4-BE49-F238E27FC236}">
              <a16:creationId xmlns:a16="http://schemas.microsoft.com/office/drawing/2014/main" id="{E78F1EBE-8485-4925-890E-EDD953EB50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476252</xdr:colOff>
      <xdr:row>16</xdr:row>
      <xdr:rowOff>76201</xdr:rowOff>
    </xdr:from>
    <xdr:to>
      <xdr:col>25</xdr:col>
      <xdr:colOff>583617</xdr:colOff>
      <xdr:row>28</xdr:row>
      <xdr:rowOff>119386</xdr:rowOff>
    </xdr:to>
    <xdr:pic>
      <xdr:nvPicPr>
        <xdr:cNvPr id="13" name="Picture 12">
          <a:extLst>
            <a:ext uri="{FF2B5EF4-FFF2-40B4-BE49-F238E27FC236}">
              <a16:creationId xmlns:a16="http://schemas.microsoft.com/office/drawing/2014/main" id="{06D89884-F33E-C70F-75EC-EC83DD68424E}"/>
            </a:ext>
          </a:extLst>
        </xdr:cNvPr>
        <xdr:cNvPicPr>
          <a:picLocks noChangeAspect="1"/>
        </xdr:cNvPicPr>
      </xdr:nvPicPr>
      <xdr:blipFill>
        <a:blip xmlns:r="http://schemas.openxmlformats.org/officeDocument/2006/relationships" r:embed="rId4"/>
        <a:stretch>
          <a:fillRect/>
        </a:stretch>
      </xdr:blipFill>
      <xdr:spPr>
        <a:xfrm>
          <a:off x="11753852" y="3609976"/>
          <a:ext cx="4374565" cy="2329185"/>
        </a:xfrm>
        <a:prstGeom prst="rect">
          <a:avLst/>
        </a:prstGeom>
      </xdr:spPr>
    </xdr:pic>
    <xdr:clientData/>
  </xdr:twoCellAnchor>
  <xdr:twoCellAnchor editAs="oneCell">
    <xdr:from>
      <xdr:col>29</xdr:col>
      <xdr:colOff>1</xdr:colOff>
      <xdr:row>42</xdr:row>
      <xdr:rowOff>1</xdr:rowOff>
    </xdr:from>
    <xdr:to>
      <xdr:col>41</xdr:col>
      <xdr:colOff>496391</xdr:colOff>
      <xdr:row>66</xdr:row>
      <xdr:rowOff>143535</xdr:rowOff>
    </xdr:to>
    <xdr:pic>
      <xdr:nvPicPr>
        <xdr:cNvPr id="3" name="Picture 2">
          <a:extLst>
            <a:ext uri="{FF2B5EF4-FFF2-40B4-BE49-F238E27FC236}">
              <a16:creationId xmlns:a16="http://schemas.microsoft.com/office/drawing/2014/main" id="{8D999D84-48BC-4F47-ADDC-530F12BF9DDD}"/>
            </a:ext>
          </a:extLst>
        </xdr:cNvPr>
        <xdr:cNvPicPr>
          <a:picLocks noChangeAspect="1"/>
        </xdr:cNvPicPr>
      </xdr:nvPicPr>
      <xdr:blipFill>
        <a:blip xmlns:r="http://schemas.openxmlformats.org/officeDocument/2006/relationships" r:embed="rId5"/>
        <a:stretch>
          <a:fillRect/>
        </a:stretch>
      </xdr:blipFill>
      <xdr:spPr>
        <a:xfrm>
          <a:off x="17983201" y="8486776"/>
          <a:ext cx="7811590" cy="4725059"/>
        </a:xfrm>
        <a:prstGeom prst="rect">
          <a:avLst/>
        </a:prstGeom>
      </xdr:spPr>
    </xdr:pic>
    <xdr:clientData/>
  </xdr:twoCellAnchor>
  <xdr:twoCellAnchor>
    <xdr:from>
      <xdr:col>18</xdr:col>
      <xdr:colOff>571500</xdr:colOff>
      <xdr:row>32</xdr:row>
      <xdr:rowOff>114300</xdr:rowOff>
    </xdr:from>
    <xdr:to>
      <xdr:col>28</xdr:col>
      <xdr:colOff>161925</xdr:colOff>
      <xdr:row>71</xdr:row>
      <xdr:rowOff>133350</xdr:rowOff>
    </xdr:to>
    <mc:AlternateContent xmlns:mc="http://schemas.openxmlformats.org/markup-compatibility/2006" xmlns:a14="http://schemas.microsoft.com/office/drawing/2010/main">
      <mc:Choice Requires="a14">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d>
                          <m:dPr>
                            <m:begChr m:val="|"/>
                            <m:endChr m:val="|"/>
                            <m:ctrlPr>
                              <a:rPr lang="en-US" sz="1000" i="1" kern="1200">
                                <a:solidFill>
                                  <a:schemeClr val="tx1"/>
                                </a:solidFill>
                                <a:effectLst/>
                                <a:latin typeface="Cambria Math" panose="02040503050406030204" pitchFamily="18" charset="0"/>
                                <a:ea typeface="+mn-ea"/>
                                <a:cs typeface="+mn-cs"/>
                              </a:rPr>
                            </m:ctrlPr>
                          </m:dPr>
                          <m:e>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𝐹</m:t>
                                </m:r>
                              </m:sub>
                            </m:sSub>
                            <m:r>
                              <a:rPr lang="en-CA" sz="1000" b="0" i="1" kern="1200">
                                <a:solidFill>
                                  <a:schemeClr val="tx1"/>
                                </a:solidFill>
                                <a:effectLst/>
                                <a:latin typeface="Cambria Math" panose="02040503050406030204" pitchFamily="18" charset="0"/>
                                <a:ea typeface="+mn-ea"/>
                                <a:cs typeface="+mn-cs"/>
                              </a:rPr>
                              <m:t>||</m:t>
                            </m:r>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𝑋</m:t>
                                </m:r>
                              </m:e>
                              <m:sub>
                                <m:r>
                                  <a:rPr lang="en-CA" sz="1000" b="0" i="1" kern="1200">
                                    <a:solidFill>
                                      <a:schemeClr val="tx1"/>
                                    </a:solidFill>
                                    <a:effectLst/>
                                    <a:latin typeface="Cambria Math" panose="02040503050406030204" pitchFamily="18" charset="0"/>
                                    <a:ea typeface="+mn-ea"/>
                                    <a:cs typeface="+mn-cs"/>
                                  </a:rPr>
                                  <m:t>𝐶</m:t>
                                </m:r>
                              </m:sub>
                            </m:sSub>
                          </m:e>
                        </m:d>
                      </m:num>
                      <m:den>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f>
                      <m:fPr>
                        <m:ctrlPr>
                          <a:rPr lang="en-CA" sz="1000" b="0" i="1" kern="1200">
                            <a:solidFill>
                              <a:schemeClr val="tx1"/>
                            </a:solidFill>
                            <a:effectLst/>
                            <a:latin typeface="Cambria Math" panose="02040503050406030204" pitchFamily="18" charset="0"/>
                            <a:ea typeface="+mn-ea"/>
                            <a:cs typeface="+mn-cs"/>
                          </a:rPr>
                        </m:ctrlPr>
                      </m:fPr>
                      <m:num>
                        <m:f>
                          <m:fPr>
                            <m:ctrlPr>
                              <a:rPr lang="en-CA" sz="1000" b="0" i="1" kern="1200">
                                <a:solidFill>
                                  <a:schemeClr val="tx1"/>
                                </a:solidFill>
                                <a:effectLst/>
                                <a:latin typeface="Cambria Math" panose="02040503050406030204" pitchFamily="18" charset="0"/>
                                <a:ea typeface="+mn-ea"/>
                                <a:cs typeface="+mn-cs"/>
                              </a:rPr>
                            </m:ctrlPr>
                          </m:fPr>
                          <m:num>
                            <m:r>
                              <a:rPr lang="en-CA" sz="1000" b="0" i="1" kern="1200">
                                <a:solidFill>
                                  <a:schemeClr val="tx1"/>
                                </a:solidFill>
                                <a:effectLst/>
                                <a:latin typeface="Cambria Math" panose="02040503050406030204" pitchFamily="18" charset="0"/>
                                <a:ea typeface="+mn-ea"/>
                                <a:cs typeface="+mn-cs"/>
                              </a:rPr>
                              <m:t>1</m:t>
                            </m:r>
                          </m:num>
                          <m:den>
                            <m:rad>
                              <m:radPr>
                                <m:degHide m:val="on"/>
                                <m:ctrlPr>
                                  <a:rPr lang="en-CA" sz="1000" b="0" i="1" kern="120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000" b="0" i="1" kern="1200">
                                    <a:solidFill>
                                      <a:schemeClr val="tx1"/>
                                    </a:solidFill>
                                    <a:effectLst/>
                                    <a:latin typeface="Cambria Math" panose="02040503050406030204" pitchFamily="18" charset="0"/>
                                    <a:ea typeface="+mn-ea"/>
                                    <a:cs typeface="+mn-cs"/>
                                  </a:rPr>
                                  <m:t>+</m:t>
                                </m:r>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den>
                                        </m:f>
                                      </m:e>
                                    </m:d>
                                  </m:e>
                                  <m:sup>
                                    <m:r>
                                      <a:rPr lang="en-CA" sz="1400" b="0" i="1" kern="1200">
                                        <a:solidFill>
                                          <a:schemeClr val="tx1"/>
                                        </a:solidFill>
                                        <a:effectLst/>
                                        <a:latin typeface="Cambria Math" panose="02040503050406030204" pitchFamily="18" charset="0"/>
                                        <a:ea typeface="+mn-ea"/>
                                        <a:cs typeface="+mn-cs"/>
                                      </a:rPr>
                                      <m:t>2</m:t>
                                    </m:r>
                                  </m:sup>
                                </m:sSup>
                              </m:e>
                            </m:rad>
                          </m:den>
                        </m:f>
                      </m:num>
                      <m:den>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10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10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10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10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den>
                        </m:f>
                      </m:e>
                    </m:d>
                  </m:oMath>
                </m:oMathPara>
              </a14:m>
              <a:endParaRPr lang="en-CA" sz="1200">
                <a:effectLst/>
              </a:endParaRPr>
            </a:p>
            <a:p>
              <a:endParaRPr lang="en-CA" sz="1400">
                <a:effectLst/>
              </a:endParaRPr>
            </a:p>
            <a:p>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r>
                <a:rPr lang="en-CA" sz="1100">
                  <a:effectLst/>
                </a:rPr>
                <a:t>Multiply top and bottom</a:t>
              </a:r>
              <a:r>
                <a:rPr lang="en-CA" sz="1100" baseline="0">
                  <a:effectLst/>
                </a:rPr>
                <a:t> by </a:t>
              </a:r>
              <a14:m>
                <m:oMath xmlns:m="http://schemas.openxmlformats.org/officeDocument/2006/math">
                  <m:f>
                    <m:fPr>
                      <m:type m:val="skw"/>
                      <m:ctrlPr>
                        <a:rPr lang="en-CA" sz="1100" i="1" baseline="0">
                          <a:effectLst/>
                          <a:latin typeface="Cambria Math" panose="02040503050406030204" pitchFamily="18" charset="0"/>
                        </a:rPr>
                      </m:ctrlPr>
                    </m:fPr>
                    <m:num>
                      <m:sSub>
                        <m:sSubPr>
                          <m:ctrlPr>
                            <a:rPr lang="en-CA" sz="1100" i="1" baseline="0">
                              <a:effectLst/>
                              <a:latin typeface="Cambria Math" panose="02040503050406030204" pitchFamily="18" charset="0"/>
                            </a:rPr>
                          </m:ctrlPr>
                        </m:sSubPr>
                        <m:e>
                          <m:r>
                            <a:rPr lang="en-CA" sz="1100" b="0" i="1" baseline="0">
                              <a:effectLst/>
                              <a:latin typeface="Cambria Math" panose="02040503050406030204" pitchFamily="18" charset="0"/>
                            </a:rPr>
                            <m:t>𝑅</m:t>
                          </m:r>
                        </m:e>
                        <m:sub>
                          <m:r>
                            <a:rPr lang="en-CA" sz="1100" b="0" i="1" baseline="0">
                              <a:effectLst/>
                              <a:latin typeface="Cambria Math" panose="02040503050406030204" pitchFamily="18" charset="0"/>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i="1" baseline="0">
                      <a:effectLst/>
                      <a:latin typeface="Cambria Math" panose="02040503050406030204" pitchFamily="18" charset="0"/>
                    </a:rPr>
                    <m:t>:</m:t>
                  </m:r>
                </m:oMath>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sSub>
                              <m:sSubPr>
                                <m:ctrlPr>
                                  <a:rPr lang="en-CA" sz="1400" i="1" kern="1200" baseline="0">
                                    <a:solidFill>
                                      <a:schemeClr val="tx1"/>
                                    </a:solidFill>
                                    <a:effectLst/>
                                    <a:latin typeface="Cambria Math" panose="02040503050406030204" pitchFamily="18" charset="0"/>
                                    <a:ea typeface="+mn-ea"/>
                                    <a:cs typeface="+mn-cs"/>
                                  </a:rPr>
                                </m:ctrlPr>
                              </m:sSubPr>
                              <m:e>
                                <m:r>
                                  <a:rPr lang="en-CA" sz="1400" b="0" i="1" kern="1200" baseline="0">
                                    <a:solidFill>
                                      <a:schemeClr val="tx1"/>
                                    </a:solidFill>
                                    <a:effectLst/>
                                    <a:latin typeface="Cambria Math" panose="02040503050406030204" pitchFamily="18" charset="0"/>
                                    <a:ea typeface="+mn-ea"/>
                                    <a:cs typeface="+mn-cs"/>
                                  </a:rPr>
                                  <m:t>𝑅</m:t>
                                </m:r>
                              </m:e>
                              <m:sub>
                                <m:r>
                                  <a:rPr lang="en-CA" sz="1400" b="0" i="1" kern="1200" baseline="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5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9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900" b="0">
                <a:solidFill>
                  <a:schemeClr val="tx1"/>
                </a:solidFill>
              </a:endParaRPr>
            </a:p>
            <a:p>
              <a14:m>
                <m:oMath xmlns:m="http://schemas.openxmlformats.org/officeDocument/2006/math">
                  <m:sSub>
                    <m:sSubPr>
                      <m:ctrlPr>
                        <a:rPr lang="en-US" sz="1200" b="0" i="1">
                          <a:solidFill>
                            <a:schemeClr val="tx1"/>
                          </a:solidFill>
                          <a:latin typeface="Cambria Math" panose="02040503050406030204" pitchFamily="18" charset="0"/>
                        </a:rPr>
                      </m:ctrlPr>
                    </m:sSubPr>
                    <m:e>
                      <m:r>
                        <a:rPr lang="en-CA" sz="1200" b="0" i="1">
                          <a:solidFill>
                            <a:schemeClr val="tx1"/>
                          </a:solidFill>
                          <a:latin typeface="Cambria Math" panose="02040503050406030204" pitchFamily="18" charset="0"/>
                        </a:rPr>
                        <m:t>𝑓</m:t>
                      </m:r>
                    </m:e>
                    <m:sub>
                      <m:r>
                        <a:rPr lang="en-CA" sz="1200" b="0" i="1">
                          <a:solidFill>
                            <a:schemeClr val="tx1"/>
                          </a:solidFill>
                          <a:latin typeface="Cambria Math" panose="02040503050406030204" pitchFamily="18" charset="0"/>
                        </a:rPr>
                        <m:t>𝑐</m:t>
                      </m:r>
                    </m:sub>
                  </m:sSub>
                  <m:r>
                    <a:rPr lang="en-CA" sz="1200" b="0" i="1">
                      <a:solidFill>
                        <a:schemeClr val="tx1"/>
                      </a:solidFill>
                      <a:latin typeface="Cambria Math" panose="02040503050406030204" pitchFamily="18" charset="0"/>
                    </a:rPr>
                    <m:t>=</m:t>
                  </m:r>
                  <m:f>
                    <m:fPr>
                      <m:ctrlPr>
                        <a:rPr lang="en-CA" sz="1200" b="0" i="1">
                          <a:solidFill>
                            <a:schemeClr val="tx1"/>
                          </a:solidFill>
                          <a:latin typeface="Cambria Math" panose="02040503050406030204" pitchFamily="18" charset="0"/>
                        </a:rPr>
                      </m:ctrlPr>
                    </m:fPr>
                    <m:num>
                      <m:r>
                        <a:rPr lang="en-CA" sz="1200" b="0" i="1">
                          <a:solidFill>
                            <a:schemeClr val="tx1"/>
                          </a:solidFill>
                          <a:latin typeface="Cambria Math" panose="02040503050406030204" pitchFamily="18" charset="0"/>
                        </a:rPr>
                        <m:t>1</m:t>
                      </m:r>
                    </m:num>
                    <m:den>
                      <m:r>
                        <a:rPr lang="en-CA" sz="1200" b="0" i="1">
                          <a:solidFill>
                            <a:schemeClr val="tx1"/>
                          </a:solidFill>
                          <a:latin typeface="Cambria Math" panose="02040503050406030204" pitchFamily="18" charset="0"/>
                        </a:rPr>
                        <m:t>2</m:t>
                      </m:r>
                      <m:r>
                        <a:rPr lang="en-CA" sz="1200" b="0" i="1">
                          <a:solidFill>
                            <a:schemeClr val="tx1"/>
                          </a:solidFill>
                          <a:latin typeface="Cambria Math" panose="02040503050406030204" pitchFamily="18" charset="0"/>
                          <a:ea typeface="Cambria Math" panose="02040503050406030204" pitchFamily="18" charset="0"/>
                        </a:rPr>
                        <m:t>𝜋</m:t>
                      </m:r>
                      <m:sSub>
                        <m:sSubPr>
                          <m:ctrlPr>
                            <a:rPr lang="en-CA" sz="1200" b="0" i="1">
                              <a:solidFill>
                                <a:schemeClr val="tx1"/>
                              </a:solidFill>
                              <a:latin typeface="Cambria Math" panose="02040503050406030204" pitchFamily="18" charset="0"/>
                              <a:ea typeface="Cambria Math" panose="02040503050406030204" pitchFamily="18" charset="0"/>
                            </a:rPr>
                          </m:ctrlPr>
                        </m:sSubPr>
                        <m:e>
                          <m:r>
                            <a:rPr lang="en-CA" sz="1200" b="0" i="1">
                              <a:solidFill>
                                <a:schemeClr val="tx1"/>
                              </a:solidFill>
                              <a:latin typeface="Cambria Math" panose="02040503050406030204" pitchFamily="18" charset="0"/>
                              <a:ea typeface="Cambria Math" panose="02040503050406030204" pitchFamily="18" charset="0"/>
                            </a:rPr>
                            <m:t>𝑅</m:t>
                          </m:r>
                        </m:e>
                        <m:sub>
                          <m:r>
                            <a:rPr lang="en-CA" sz="1200" b="0" i="1">
                              <a:solidFill>
                                <a:schemeClr val="tx1"/>
                              </a:solidFill>
                              <a:latin typeface="Cambria Math" panose="02040503050406030204" pitchFamily="18" charset="0"/>
                              <a:ea typeface="Cambria Math" panose="02040503050406030204" pitchFamily="18" charset="0"/>
                            </a:rPr>
                            <m:t>𝐹</m:t>
                          </m:r>
                        </m:sub>
                      </m:sSub>
                      <m:r>
                        <a:rPr lang="en-CA" sz="1200" b="0" i="1">
                          <a:solidFill>
                            <a:schemeClr val="tx1"/>
                          </a:solidFill>
                          <a:latin typeface="Cambria Math" panose="02040503050406030204" pitchFamily="18" charset="0"/>
                          <a:ea typeface="Cambria Math" panose="02040503050406030204" pitchFamily="18" charset="0"/>
                        </a:rPr>
                        <m:t>𝐶</m:t>
                      </m:r>
                    </m:den>
                  </m:f>
                  <m:r>
                    <a:rPr lang="en-CA" sz="1200" b="0" i="1">
                      <a:solidFill>
                        <a:schemeClr val="tx1"/>
                      </a:solidFill>
                      <a:latin typeface="Cambria Math" panose="02040503050406030204" pitchFamily="18" charset="0"/>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𝐶</m:t>
                  </m:r>
                </m:oMath>
              </a14:m>
              <a:r>
                <a:rPr lang="en-CA" sz="1200" b="0">
                  <a:solidFill>
                    <a:schemeClr val="tx1"/>
                  </a:solidFill>
                </a:rPr>
                <a:t>=</a:t>
              </a:r>
              <a14:m>
                <m:oMath xmlns:m="http://schemas.openxmlformats.org/officeDocument/2006/math">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oMath>
              </a14:m>
              <a:endParaRPr lang="en-CA" sz="1200" b="0">
                <a:solidFill>
                  <a:schemeClr val="tx1"/>
                </a:solidFill>
              </a:endParaRPr>
            </a:p>
            <a:p>
              <a:pPr/>
              <a14:m>
                <m:oMathPara xmlns:m="http://schemas.openxmlformats.org/officeDocument/2006/math">
                  <m:oMathParaPr>
                    <m:jc m:val="left"/>
                  </m:oMathParaPr>
                  <m:oMath xmlns:m="http://schemas.openxmlformats.org/officeDocument/2006/math">
                    <m:r>
                      <a:rPr lang="en-CA" sz="1100" b="0" i="1" kern="1200">
                        <a:solidFill>
                          <a:schemeClr val="tx1"/>
                        </a:solidFill>
                        <a:effectLst/>
                        <a:latin typeface="Cambria Math" panose="02040503050406030204" pitchFamily="18" charset="0"/>
                        <a:ea typeface="+mn-ea"/>
                        <a:cs typeface="+mn-cs"/>
                      </a:rPr>
                      <m:t>→</m:t>
                    </m:r>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mlns="">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𝐹 ||𝑋_𝐶 |</a:t>
              </a:r>
              <a:r>
                <a:rPr lang="en-US" sz="1000" b="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1 =−(1/√(</a:t>
              </a:r>
              <a:r>
                <a:rPr lang="en-CA" sz="1400" b="0" i="0" kern="1200">
                  <a:solidFill>
                    <a:schemeClr val="tx1"/>
                  </a:solidFill>
                  <a:effectLst/>
                  <a:latin typeface="Cambria Math" panose="02040503050406030204" pitchFamily="18" charset="0"/>
                  <a:ea typeface="+mn-ea"/>
                  <a:cs typeface="+mn-cs"/>
                </a:rPr>
                <a:t>(1/𝑋_𝑐 )^2</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(1/𝑅_𝐹 )^2 </a:t>
              </a:r>
              <a:r>
                <a:rPr lang="en-CA" sz="1000" b="0" i="0" kern="1200">
                  <a:solidFill>
                    <a:schemeClr val="tx1"/>
                  </a:solidFill>
                  <a:effectLst/>
                  <a:latin typeface="Cambria Math" panose="02040503050406030204" pitchFamily="18" charset="0"/>
                  <a:ea typeface="+mn-ea"/>
                  <a:cs typeface="+mn-cs"/>
                </a:rPr>
                <a:t>))/𝑅_1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10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endParaRPr lang="en-CA" sz="1200">
                <a:effectLst/>
              </a:endParaRPr>
            </a:p>
            <a:p>
              <a:endParaRPr lang="en-CA" sz="14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r>
                <a:rPr lang="en-CA" sz="1100">
                  <a:effectLst/>
                </a:rPr>
                <a:t>Multiply top and bottom</a:t>
              </a:r>
              <a:r>
                <a:rPr lang="en-CA" sz="1100" baseline="0">
                  <a:effectLst/>
                </a:rPr>
                <a:t> by </a:t>
              </a:r>
              <a:r>
                <a:rPr lang="en-CA" sz="1100" b="0" i="0" baseline="0">
                  <a:effectLst/>
                  <a:latin typeface="Cambria Math" panose="02040503050406030204" pitchFamily="18" charset="0"/>
                </a:rPr>
                <a:t>𝑅_𝐹⁄</a:t>
              </a:r>
              <a:r>
                <a:rPr lang="en-CA" sz="1100" b="0" i="0" kern="1200" baseline="0">
                  <a:solidFill>
                    <a:schemeClr val="tx1"/>
                  </a:solidFill>
                  <a:effectLst/>
                  <a:latin typeface="Cambria Math" panose="02040503050406030204" pitchFamily="18" charset="0"/>
                  <a:ea typeface="+mn-ea"/>
                  <a:cs typeface="+mn-cs"/>
                </a:rPr>
                <a:t>𝑅_1 </a:t>
              </a:r>
              <a:r>
                <a:rPr lang="en-CA" sz="1100" i="0" baseline="0">
                  <a:effectLst/>
                  <a:latin typeface="Cambria Math" panose="02040503050406030204" pitchFamily="18" charset="0"/>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CA" sz="110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100" b="0" i="0" kern="1200" baseline="0">
                  <a:solidFill>
                    <a:schemeClr val="tx1"/>
                  </a:solidFill>
                  <a:effectLst/>
                  <a:latin typeface="Cambria Math" panose="02040503050406030204" pitchFamily="18" charset="0"/>
                  <a:ea typeface="+mn-ea"/>
                  <a:cs typeface="+mn-cs"/>
                </a:rPr>
                <a:t>𝑅_1</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𝑅_𝐹</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050" b="0">
                <a:solidFill>
                  <a:schemeClr val="tx1"/>
                </a:solidFill>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a:t>
              </a:r>
              <a:r>
                <a:rPr lang="en-CA" sz="1400" b="0" i="0" kern="1200">
                  <a:solidFill>
                    <a:schemeClr val="tx1"/>
                  </a:solidFill>
                  <a:effectLst/>
                  <a:latin typeface="Cambria Math" panose="02040503050406030204" pitchFamily="18" charset="0"/>
                  <a:ea typeface="+mn-ea"/>
                  <a:cs typeface="+mn-cs"/>
                </a:rPr>
                <a:t>𝑅_𝐹</a:t>
              </a:r>
              <a:r>
                <a:rPr lang="en-CA" sz="1100" b="0" i="0" kern="1200">
                  <a:solidFill>
                    <a:schemeClr val="tx1"/>
                  </a:solidFill>
                  <a:effectLst/>
                  <a:latin typeface="Cambria Math" panose="02040503050406030204" pitchFamily="18" charset="0"/>
                  <a:ea typeface="+mn-ea"/>
                  <a:cs typeface="+mn-cs"/>
                </a:rPr>
                <a:t>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400" b="0" i="0" kern="1200">
                  <a:solidFill>
                    <a:schemeClr val="tx1"/>
                  </a:solidFill>
                  <a:effectLst/>
                  <a:latin typeface="Cambria Math" panose="02040503050406030204" pitchFamily="18" charset="0"/>
                  <a:ea typeface="+mn-ea"/>
                  <a:cs typeface="+mn-cs"/>
                </a:rPr>
                <a:t>〖𝑅_𝐹〗^2</a:t>
              </a:r>
              <a:r>
                <a:rPr lang="en-CA" sz="1100" b="0" i="0" kern="1200">
                  <a:solidFill>
                    <a:schemeClr val="tx1"/>
                  </a:solidFill>
                  <a:effectLst/>
                  <a:latin typeface="Cambria Math" panose="02040503050406030204" pitchFamily="18" charset="0"/>
                  <a:ea typeface="+mn-ea"/>
                  <a:cs typeface="+mn-cs"/>
                </a:rPr>
                <a:t>/〖𝑅_𝐹〗^2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9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r>
                <a:rPr lang="en-CA" sz="1200" b="0" i="0">
                  <a:solidFill>
                    <a:schemeClr val="tx1"/>
                  </a:solidFill>
                  <a:latin typeface="Cambria Math" panose="02040503050406030204" pitchFamily="18" charset="0"/>
                </a:rPr>
                <a:t>𝑓</a:t>
              </a:r>
              <a:r>
                <a:rPr lang="en-US" sz="1200" b="0" i="0">
                  <a:solidFill>
                    <a:schemeClr val="tx1"/>
                  </a:solidFill>
                  <a:latin typeface="Cambria Math" panose="02040503050406030204" pitchFamily="18" charset="0"/>
                </a:rPr>
                <a:t>_</a:t>
              </a:r>
              <a:r>
                <a:rPr lang="en-CA" sz="1200" b="0" i="0">
                  <a:solidFill>
                    <a:schemeClr val="tx1"/>
                  </a:solidFill>
                  <a:latin typeface="Cambria Math" panose="02040503050406030204" pitchFamily="18" charset="0"/>
                </a:rPr>
                <a:t>𝑐=1/(2</a:t>
              </a:r>
              <a:r>
                <a:rPr lang="en-CA" sz="1200" b="0" i="0">
                  <a:solidFill>
                    <a:schemeClr val="tx1"/>
                  </a:solidFill>
                  <a:latin typeface="Cambria Math" panose="02040503050406030204" pitchFamily="18" charset="0"/>
                  <a:ea typeface="Cambria Math" panose="02040503050406030204" pitchFamily="18" charset="0"/>
                </a:rPr>
                <a:t>𝜋𝑅_𝐹 𝐶)</a:t>
              </a:r>
              <a:r>
                <a:rPr lang="en-CA" sz="1200" b="0" i="0">
                  <a:solidFill>
                    <a:schemeClr val="tx1"/>
                  </a:solidFill>
                  <a:latin typeface="Cambria Math" panose="02040503050406030204" pitchFamily="18" charset="0"/>
                </a:rPr>
                <a:t>→</a:t>
              </a:r>
              <a:r>
                <a:rPr lang="en-CA" sz="1400" b="0" i="0" kern="1200">
                  <a:solidFill>
                    <a:schemeClr val="tx1"/>
                  </a:solidFill>
                  <a:effectLst/>
                  <a:latin typeface="Cambria Math" panose="02040503050406030204" pitchFamily="18" charset="0"/>
                  <a:ea typeface="+mn-ea"/>
                  <a:cs typeface="+mn-cs"/>
                </a:rPr>
                <a:t>𝑅_𝐹 𝐶</a:t>
              </a:r>
              <a:r>
                <a:rPr lang="en-CA" sz="1200" b="0">
                  <a:solidFill>
                    <a:schemeClr val="tx1"/>
                  </a:solidFill>
                </a:rPr>
                <a:t>=</a:t>
              </a:r>
              <a:r>
                <a:rPr lang="en-CA" sz="1400" b="0" i="0" kern="1200">
                  <a:solidFill>
                    <a:schemeClr val="tx1"/>
                  </a:solidFill>
                  <a:effectLst/>
                  <a:latin typeface="Cambria Math" panose="02040503050406030204" pitchFamily="18" charset="0"/>
                  <a:ea typeface="+mn-ea"/>
                  <a:cs typeface="+mn-cs"/>
                </a:rPr>
                <a:t>1/(2𝜋𝑓_𝑐 )</a:t>
              </a:r>
              <a:endParaRPr lang="en-CA" sz="1200" b="0">
                <a:solidFill>
                  <a:schemeClr val="tx1"/>
                </a:solidFill>
              </a:endParaRPr>
            </a:p>
            <a:p>
              <a:pPr/>
              <a:r>
                <a:rPr lang="en-CA"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twoCellAnchor editAs="oneCell">
    <xdr:from>
      <xdr:col>19</xdr:col>
      <xdr:colOff>0</xdr:colOff>
      <xdr:row>73</xdr:row>
      <xdr:rowOff>0</xdr:rowOff>
    </xdr:from>
    <xdr:to>
      <xdr:col>26</xdr:col>
      <xdr:colOff>574973</xdr:colOff>
      <xdr:row>87</xdr:row>
      <xdr:rowOff>171846</xdr:rowOff>
    </xdr:to>
    <xdr:pic>
      <xdr:nvPicPr>
        <xdr:cNvPr id="4" name="Picture 3">
          <a:extLst>
            <a:ext uri="{FF2B5EF4-FFF2-40B4-BE49-F238E27FC236}">
              <a16:creationId xmlns:a16="http://schemas.microsoft.com/office/drawing/2014/main" id="{45D979A0-DBFD-4352-936D-6C51990CE6CA}"/>
            </a:ext>
          </a:extLst>
        </xdr:cNvPr>
        <xdr:cNvPicPr>
          <a:picLocks noChangeAspect="1"/>
        </xdr:cNvPicPr>
      </xdr:nvPicPr>
      <xdr:blipFill>
        <a:blip xmlns:r="http://schemas.openxmlformats.org/officeDocument/2006/relationships" r:embed="rId6"/>
        <a:stretch>
          <a:fillRect/>
        </a:stretch>
      </xdr:blipFill>
      <xdr:spPr>
        <a:xfrm>
          <a:off x="11822206" y="14421971"/>
          <a:ext cx="4810796" cy="2838846"/>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20.xml"/><Relationship Id="rId2" Type="http://schemas.openxmlformats.org/officeDocument/2006/relationships/printerSettings" Target="../printerSettings/printerSettings20.bin"/><Relationship Id="rId1" Type="http://schemas.openxmlformats.org/officeDocument/2006/relationships/hyperlink" Target="https://www.electronics-tutorials.ws/filter/filter_5.html"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21.xml"/><Relationship Id="rId2" Type="http://schemas.openxmlformats.org/officeDocument/2006/relationships/printerSettings" Target="../printerSettings/printerSettings21.bin"/><Relationship Id="rId1" Type="http://schemas.openxmlformats.org/officeDocument/2006/relationships/hyperlink" Target="https://www.electronics-tutorials.ws/filter/filter_5.html" TargetMode="Externa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3" Type="http://schemas.openxmlformats.org/officeDocument/2006/relationships/drawing" Target="../drawings/drawing25.xml"/><Relationship Id="rId2" Type="http://schemas.openxmlformats.org/officeDocument/2006/relationships/printerSettings" Target="../printerSettings/printerSettings25.bin"/><Relationship Id="rId1" Type="http://schemas.openxmlformats.org/officeDocument/2006/relationships/hyperlink" Target="https://ww1.microchip.com/downloads/en/DeviceDoc/20001811F.pdf" TargetMode="Externa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9.bin"/><Relationship Id="rId1" Type="http://schemas.openxmlformats.org/officeDocument/2006/relationships/hyperlink" Target="https://www.electronics-tutorials.ws/opamp/opamp_6.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82B7F5-7BB9-4A20-B368-8B0E5F060260}">
  <sheetPr codeName="Sheet1"/>
  <dimension ref="B1:H36"/>
  <sheetViews>
    <sheetView tabSelected="1" zoomScale="85" zoomScaleNormal="85" workbookViewId="0">
      <selection activeCell="C4" sqref="C4"/>
    </sheetView>
  </sheetViews>
  <sheetFormatPr defaultColWidth="8.85546875" defaultRowHeight="15"/>
  <cols>
    <col min="1" max="1" width="4.28515625" style="2" customWidth="1"/>
    <col min="2" max="16384" width="8.85546875" style="2"/>
  </cols>
  <sheetData>
    <row r="1" spans="2:4" ht="46.5">
      <c r="B1" s="1" t="s">
        <v>60</v>
      </c>
    </row>
    <row r="2" spans="2:4">
      <c r="B2" s="2" t="s">
        <v>61</v>
      </c>
    </row>
    <row r="3" spans="2:4" ht="15.75" thickBot="1"/>
    <row r="4" spans="2:4" ht="15.75" thickBot="1">
      <c r="B4" s="2" t="s">
        <v>0</v>
      </c>
      <c r="C4" s="8">
        <v>2.5</v>
      </c>
      <c r="D4" s="2" t="s">
        <v>17</v>
      </c>
    </row>
    <row r="5" spans="2:4" ht="15.75" thickBot="1">
      <c r="B5" s="2" t="s">
        <v>1</v>
      </c>
      <c r="C5" s="4">
        <v>1</v>
      </c>
    </row>
    <row r="6" spans="2:4" ht="15.75" thickBot="1">
      <c r="B6" s="2" t="s">
        <v>25</v>
      </c>
      <c r="C6" s="4">
        <v>1</v>
      </c>
    </row>
    <row r="7" spans="2:4" ht="15.75" thickBot="1">
      <c r="B7" s="2" t="s">
        <v>5</v>
      </c>
      <c r="C7" s="4">
        <v>0.1</v>
      </c>
      <c r="D7" s="2" t="s">
        <v>22</v>
      </c>
    </row>
    <row r="10" spans="2:4">
      <c r="B10" s="7" t="s">
        <v>6</v>
      </c>
      <c r="C10" s="7" t="s">
        <v>2</v>
      </c>
      <c r="D10" s="7" t="s">
        <v>3</v>
      </c>
    </row>
    <row r="11" spans="2:4">
      <c r="B11" s="2">
        <v>0</v>
      </c>
      <c r="C11" s="2">
        <f t="shared" ref="C11:C36" si="0">$C$6*SIN(B11)</f>
        <v>0</v>
      </c>
      <c r="D11" s="2">
        <f t="shared" ref="D11:D36" si="1">$C$5*SIN(B11+$C$7)+$C$4</f>
        <v>2.599833416646828</v>
      </c>
    </row>
    <row r="12" spans="2:4">
      <c r="B12" s="2">
        <v>0.1</v>
      </c>
      <c r="C12" s="2">
        <f t="shared" si="0"/>
        <v>9.9833416646828155E-2</v>
      </c>
      <c r="D12" s="2">
        <f t="shared" si="1"/>
        <v>2.6986693307950613</v>
      </c>
    </row>
    <row r="13" spans="2:4">
      <c r="B13" s="2">
        <v>0.2</v>
      </c>
      <c r="C13" s="2">
        <f t="shared" si="0"/>
        <v>0.19866933079506122</v>
      </c>
      <c r="D13" s="2">
        <f t="shared" si="1"/>
        <v>2.7955202066613394</v>
      </c>
    </row>
    <row r="14" spans="2:4">
      <c r="B14" s="2">
        <v>1.2</v>
      </c>
      <c r="C14" s="2">
        <f t="shared" si="0"/>
        <v>0.93203908596722629</v>
      </c>
      <c r="D14" s="2">
        <f t="shared" si="1"/>
        <v>3.4635581854171931</v>
      </c>
    </row>
    <row r="15" spans="2:4">
      <c r="B15" s="2">
        <v>2.2000000000000002</v>
      </c>
      <c r="C15" s="2">
        <f t="shared" si="0"/>
        <v>0.80849640381959009</v>
      </c>
      <c r="D15" s="2">
        <f t="shared" si="1"/>
        <v>3.2457052121767198</v>
      </c>
    </row>
    <row r="16" spans="2:4">
      <c r="B16" s="2">
        <v>3.2</v>
      </c>
      <c r="C16" s="2">
        <f t="shared" si="0"/>
        <v>-5.8374143427580086E-2</v>
      </c>
      <c r="D16" s="2">
        <f t="shared" si="1"/>
        <v>2.3422543058567515</v>
      </c>
    </row>
    <row r="17" spans="2:8">
      <c r="B17" s="2">
        <v>4.2</v>
      </c>
      <c r="C17" s="2">
        <f t="shared" si="0"/>
        <v>-0.87157577241358819</v>
      </c>
      <c r="D17" s="2">
        <f t="shared" si="1"/>
        <v>1.5838340632505452</v>
      </c>
    </row>
    <row r="18" spans="2:8">
      <c r="B18" s="2">
        <v>5.2</v>
      </c>
      <c r="C18" s="2">
        <f t="shared" si="0"/>
        <v>-0.88345465572015314</v>
      </c>
      <c r="D18" s="2">
        <f t="shared" si="1"/>
        <v>1.6677325577760986</v>
      </c>
    </row>
    <row r="19" spans="2:8">
      <c r="B19" s="2">
        <v>6.2</v>
      </c>
      <c r="C19" s="2">
        <f t="shared" si="0"/>
        <v>-8.3089402817496397E-2</v>
      </c>
      <c r="D19" s="2">
        <f t="shared" si="1"/>
        <v>2.5168139004843497</v>
      </c>
    </row>
    <row r="20" spans="2:8">
      <c r="B20" s="2">
        <v>7.2</v>
      </c>
      <c r="C20" s="2">
        <f t="shared" si="0"/>
        <v>0.79366786384915311</v>
      </c>
      <c r="D20" s="2">
        <f t="shared" si="1"/>
        <v>3.3504366206285643</v>
      </c>
    </row>
    <row r="21" spans="2:8">
      <c r="B21" s="2">
        <v>8.1999999999999993</v>
      </c>
      <c r="C21" s="2">
        <f t="shared" si="0"/>
        <v>0.94073055667977312</v>
      </c>
      <c r="D21" s="2">
        <f t="shared" si="1"/>
        <v>3.4021718337562943</v>
      </c>
    </row>
    <row r="22" spans="2:8">
      <c r="B22" s="2">
        <v>9.1999999999999993</v>
      </c>
      <c r="C22" s="2">
        <f t="shared" si="0"/>
        <v>0.22288991410024764</v>
      </c>
      <c r="D22" s="2">
        <f t="shared" si="1"/>
        <v>2.6244544235070633</v>
      </c>
    </row>
    <row r="23" spans="2:8">
      <c r="B23" s="2">
        <v>10.199999999999999</v>
      </c>
      <c r="C23" s="2">
        <f t="shared" si="0"/>
        <v>-0.69987468759354232</v>
      </c>
      <c r="D23" s="2">
        <f t="shared" si="1"/>
        <v>1.7323141902364187</v>
      </c>
    </row>
    <row r="24" spans="2:8">
      <c r="B24" s="2">
        <v>11.2</v>
      </c>
      <c r="C24" s="2">
        <f t="shared" si="0"/>
        <v>-0.9791777291513174</v>
      </c>
      <c r="D24" s="2">
        <f t="shared" si="1"/>
        <v>1.5459807500979106</v>
      </c>
    </row>
    <row r="25" spans="2:8">
      <c r="B25" s="2">
        <v>12.2</v>
      </c>
      <c r="C25" s="2">
        <f t="shared" si="0"/>
        <v>-0.35822928223682871</v>
      </c>
      <c r="D25" s="2">
        <f t="shared" si="1"/>
        <v>2.2367682086341976</v>
      </c>
    </row>
    <row r="26" spans="2:8">
      <c r="B26" s="2">
        <v>13.2</v>
      </c>
      <c r="C26" s="2">
        <f t="shared" si="0"/>
        <v>0.59207351470722303</v>
      </c>
      <c r="D26" s="2">
        <f t="shared" si="1"/>
        <v>3.169569762196601</v>
      </c>
    </row>
    <row r="27" spans="2:8">
      <c r="B27" s="2">
        <v>14.2</v>
      </c>
      <c r="C27" s="2">
        <f t="shared" si="0"/>
        <v>0.99802665271636171</v>
      </c>
      <c r="D27" s="2">
        <f t="shared" si="1"/>
        <v>3.4867719642746136</v>
      </c>
      <c r="H27" s="2">
        <f>-30*LOG(2)</f>
        <v>-9.0308998699194358</v>
      </c>
    </row>
    <row r="28" spans="2:8">
      <c r="B28" s="2">
        <v>15.2</v>
      </c>
      <c r="C28" s="2">
        <f t="shared" si="0"/>
        <v>0.48639868885379967</v>
      </c>
      <c r="D28" s="2">
        <f t="shared" si="1"/>
        <v>2.8967405731306135</v>
      </c>
    </row>
    <row r="29" spans="2:8">
      <c r="B29" s="2">
        <v>16.2</v>
      </c>
      <c r="C29" s="2">
        <f t="shared" si="0"/>
        <v>-0.47242198639846616</v>
      </c>
      <c r="D29" s="2">
        <f t="shared" si="1"/>
        <v>1.9419477287132207</v>
      </c>
    </row>
    <row r="30" spans="2:8">
      <c r="B30" s="2">
        <v>17.2</v>
      </c>
      <c r="C30" s="2">
        <f t="shared" si="0"/>
        <v>-0.99690006604159609</v>
      </c>
      <c r="D30" s="2">
        <f t="shared" si="1"/>
        <v>1.500225568926989</v>
      </c>
    </row>
    <row r="31" spans="2:8">
      <c r="B31" s="2">
        <v>18.2</v>
      </c>
      <c r="C31" s="2">
        <f t="shared" si="0"/>
        <v>-0.60483282240628411</v>
      </c>
      <c r="D31" s="2">
        <f t="shared" si="1"/>
        <v>1.9776914103732683</v>
      </c>
    </row>
    <row r="32" spans="2:8">
      <c r="B32" s="2">
        <v>19.2</v>
      </c>
      <c r="C32" s="2">
        <f t="shared" si="0"/>
        <v>0.34331492881989539</v>
      </c>
      <c r="D32" s="2">
        <f t="shared" si="1"/>
        <v>2.9353653603728933</v>
      </c>
    </row>
    <row r="33" spans="2:4">
      <c r="B33" s="2">
        <v>20.2</v>
      </c>
      <c r="C33" s="2">
        <f t="shared" si="0"/>
        <v>0.97582051776697554</v>
      </c>
      <c r="D33" s="2">
        <f t="shared" si="1"/>
        <v>3.4927664058359071</v>
      </c>
    </row>
    <row r="34" spans="2:4">
      <c r="B34" s="2">
        <v>21.2</v>
      </c>
      <c r="C34" s="2">
        <f t="shared" si="0"/>
        <v>0.71116122290598238</v>
      </c>
      <c r="D34" s="2">
        <f t="shared" si="1"/>
        <v>3.1374225961502389</v>
      </c>
    </row>
    <row r="35" spans="2:4">
      <c r="B35" s="2">
        <v>22.2</v>
      </c>
      <c r="C35" s="2">
        <f t="shared" si="0"/>
        <v>-0.20733642060675878</v>
      </c>
      <c r="D35" s="2">
        <f t="shared" si="1"/>
        <v>2.196035391188953</v>
      </c>
    </row>
    <row r="36" spans="2:4">
      <c r="B36" s="2">
        <v>23.2</v>
      </c>
      <c r="C36" s="2">
        <f t="shared" si="0"/>
        <v>-0.93520991519453889</v>
      </c>
      <c r="D36" s="2">
        <f t="shared" si="1"/>
        <v>1.5341118457639296</v>
      </c>
    </row>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A266E-1CF8-42B1-90C3-B9BB69FF12FD}">
  <dimension ref="B1:AA101"/>
  <sheetViews>
    <sheetView zoomScale="85" zoomScaleNormal="85" workbookViewId="0">
      <selection activeCell="C2" sqref="C2"/>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7" ht="47.25" thickBot="1">
      <c r="B1" s="1" t="s">
        <v>273</v>
      </c>
    </row>
    <row r="2" spans="2:27" ht="15.75" thickBot="1">
      <c r="B2" s="2" t="s">
        <v>12</v>
      </c>
      <c r="C2" s="4">
        <v>1</v>
      </c>
      <c r="D2" s="2" t="s">
        <v>16</v>
      </c>
      <c r="E2" s="33" t="s">
        <v>287</v>
      </c>
      <c r="F2" s="9">
        <f>2*PI()*C9</f>
        <v>10000.000000000002</v>
      </c>
      <c r="H2" s="6" t="s">
        <v>36</v>
      </c>
      <c r="AA2"/>
    </row>
    <row r="3" spans="2:27" ht="15.75" thickBot="1">
      <c r="B3" s="2" t="s">
        <v>82</v>
      </c>
      <c r="C3" s="4">
        <v>0.1</v>
      </c>
      <c r="D3" s="2" t="s">
        <v>83</v>
      </c>
      <c r="E3" s="2" t="s">
        <v>291</v>
      </c>
      <c r="F3" s="9">
        <f>(F2*C2*1000*C3*0.000001)/SQRT(1+(F2*C2*1000*C3*0.000001)^2)</f>
        <v>0.70710678118654768</v>
      </c>
      <c r="H3" s="2" t="s">
        <v>9</v>
      </c>
      <c r="I3" s="4">
        <v>5</v>
      </c>
      <c r="J3" s="2" t="s">
        <v>18</v>
      </c>
    </row>
    <row r="4" spans="2:27" ht="15.75" thickBot="1">
      <c r="B4" s="2" t="s">
        <v>99</v>
      </c>
      <c r="C4" s="4">
        <v>1</v>
      </c>
      <c r="D4" s="2" t="s">
        <v>16</v>
      </c>
      <c r="E4" s="33" t="s">
        <v>288</v>
      </c>
      <c r="F4" s="9">
        <f>ATAN(1/(F2*C2*1000*C3*0.000001))</f>
        <v>0.78539816339744817</v>
      </c>
      <c r="G4" s="2" t="s">
        <v>290</v>
      </c>
      <c r="H4" s="2" t="s">
        <v>10</v>
      </c>
      <c r="I4" s="5">
        <v>-5</v>
      </c>
      <c r="J4" s="2" t="s">
        <v>19</v>
      </c>
    </row>
    <row r="5" spans="2:27" ht="15.75" thickBot="1">
      <c r="B5" s="2" t="s">
        <v>0</v>
      </c>
      <c r="C5" s="3">
        <v>0</v>
      </c>
      <c r="D5" s="2" t="s">
        <v>17</v>
      </c>
      <c r="E5" s="17" t="s">
        <v>286</v>
      </c>
      <c r="F5" s="9">
        <f>ABS(F4)/F2</f>
        <v>7.85398163397448E-5</v>
      </c>
      <c r="G5" s="2" t="s">
        <v>289</v>
      </c>
      <c r="H5" s="2" t="s">
        <v>31</v>
      </c>
      <c r="I5" s="4">
        <v>1.2</v>
      </c>
      <c r="J5" s="2" t="s">
        <v>32</v>
      </c>
    </row>
    <row r="6" spans="2:27">
      <c r="B6" s="2" t="s">
        <v>1</v>
      </c>
      <c r="C6" s="3">
        <f>-C4/C2</f>
        <v>-1</v>
      </c>
      <c r="D6" s="2" t="s">
        <v>39</v>
      </c>
    </row>
    <row r="7" spans="2:27" ht="15.75" thickBot="1">
      <c r="B7" s="2" t="s">
        <v>97</v>
      </c>
      <c r="C7" s="3">
        <f>1/(2*PI()*C9*C3*0.000001)</f>
        <v>999.99999999999977</v>
      </c>
      <c r="D7" s="2" t="s">
        <v>214</v>
      </c>
      <c r="H7" s="6" t="s">
        <v>33</v>
      </c>
    </row>
    <row r="8" spans="2:27" ht="15.75" thickBot="1">
      <c r="B8" s="2" t="s">
        <v>25</v>
      </c>
      <c r="C8" s="4">
        <v>1</v>
      </c>
      <c r="D8" s="2" t="s">
        <v>38</v>
      </c>
      <c r="H8" s="6"/>
    </row>
    <row r="9" spans="2:27" ht="15.75" thickBot="1">
      <c r="B9" s="2" t="s">
        <v>84</v>
      </c>
      <c r="C9" s="4">
        <f>C11</f>
        <v>1591.5494309189537</v>
      </c>
      <c r="D9" s="2" t="s">
        <v>80</v>
      </c>
      <c r="H9" s="6" t="s">
        <v>29</v>
      </c>
      <c r="I9" s="4">
        <v>1</v>
      </c>
      <c r="J9" s="2" t="s">
        <v>17</v>
      </c>
    </row>
    <row r="10" spans="2:27">
      <c r="B10" s="2" t="s">
        <v>87</v>
      </c>
      <c r="C10" s="3">
        <f>1/C9</f>
        <v>6.2831853071795851E-4</v>
      </c>
      <c r="D10" s="2" t="s">
        <v>86</v>
      </c>
      <c r="H10" s="6" t="s">
        <v>34</v>
      </c>
      <c r="I10" s="3">
        <f>IF($C$6*I9/SQRT(1+($C$9/$C$11)^2)&gt;($I$3-$I$5),($I$3-$I$5),IF($C$6*I9/SQRT(1+($C$9/$C$11)^2)&lt;($I$4+$I$5),($I$4+$I$5),$C$6*I9/SQRT(1+($C$9/$C$11)^2)))</f>
        <v>-0.70710678118654746</v>
      </c>
      <c r="J10" s="2" t="s">
        <v>17</v>
      </c>
    </row>
    <row r="11" spans="2:27" ht="15.75" thickBot="1">
      <c r="B11" s="2" t="s">
        <v>81</v>
      </c>
      <c r="C11" s="3">
        <f>1/(2*PI()*(C2*1000)*(C3*0.000001))</f>
        <v>1591.5494309189537</v>
      </c>
      <c r="D11" s="2" t="s">
        <v>80</v>
      </c>
    </row>
    <row r="12" spans="2:27" ht="15.75" thickBot="1">
      <c r="B12" s="2" t="s">
        <v>89</v>
      </c>
      <c r="C12" s="4">
        <v>4</v>
      </c>
      <c r="D12" s="2" t="s">
        <v>90</v>
      </c>
      <c r="H12" s="6" t="s">
        <v>103</v>
      </c>
    </row>
    <row r="13" spans="2:27">
      <c r="B13" s="2" t="s">
        <v>88</v>
      </c>
      <c r="C13" s="3">
        <f>C10*C12/25</f>
        <v>1.0053096491487336E-4</v>
      </c>
      <c r="D13" s="2" t="s">
        <v>86</v>
      </c>
      <c r="H13" s="17" t="s">
        <v>104</v>
      </c>
      <c r="I13" s="3">
        <f>1000*(C2*1000)*(C3*0.000001)</f>
        <v>9.9999999999999992E-2</v>
      </c>
      <c r="J13" s="2" t="s">
        <v>105</v>
      </c>
    </row>
    <row r="15" spans="2:27">
      <c r="E15" s="6" t="s">
        <v>30</v>
      </c>
    </row>
    <row r="16" spans="2:27">
      <c r="B16" s="7" t="s">
        <v>85</v>
      </c>
      <c r="C16" s="7" t="s">
        <v>7</v>
      </c>
      <c r="D16" s="7" t="s">
        <v>3</v>
      </c>
      <c r="E16" s="7" t="s">
        <v>3</v>
      </c>
      <c r="F16" s="28" t="s">
        <v>223</v>
      </c>
      <c r="G16" s="28"/>
    </row>
    <row r="17" spans="2:7">
      <c r="B17" s="2">
        <v>0</v>
      </c>
      <c r="C17" s="2">
        <f t="shared" ref="C17:C42" si="0">$C$8*SIN($B17*$C$9*2*PI())</f>
        <v>0</v>
      </c>
      <c r="D17" s="2">
        <f>$C$6*$F$3*$C$8*SIN($F$2*B17+$F$4)</f>
        <v>-0.50000000000000011</v>
      </c>
      <c r="E17" s="2">
        <f t="shared" ref="E17:E42" si="1">IF(D17&gt;($I$3-$I$5),($I$3-$I$5),IF(D17&lt;($I$4+$I$5),($I$4+$I$5),D17))</f>
        <v>-0.50000000000000011</v>
      </c>
      <c r="F17" s="28">
        <f t="shared" ref="F17:F42" si="2">-C17*($C$4*1000)/SQRT(($C$2*1000)^2+$C$7^2)</f>
        <v>0</v>
      </c>
      <c r="G17" s="28"/>
    </row>
    <row r="18" spans="2:7">
      <c r="B18" s="2">
        <f t="shared" ref="B18:B42" si="3">B17+$C$13</f>
        <v>1.0053096491487336E-4</v>
      </c>
      <c r="C18" s="2">
        <f t="shared" si="0"/>
        <v>0.84432792550201508</v>
      </c>
      <c r="D18" s="2">
        <f t="shared" ref="D18:D42" si="4">$C$6*$F$3*$C$8*SIN($F$2*B18+$F$4)</f>
        <v>-0.69007736024050603</v>
      </c>
      <c r="E18" s="2">
        <f t="shared" si="1"/>
        <v>-0.69007736024050603</v>
      </c>
      <c r="F18" s="28">
        <f t="shared" si="2"/>
        <v>-0.59703000166764508</v>
      </c>
      <c r="G18" s="28"/>
    </row>
    <row r="19" spans="2:7">
      <c r="B19" s="2">
        <f t="shared" si="3"/>
        <v>2.0106192982974672E-4</v>
      </c>
      <c r="C19" s="2">
        <f t="shared" si="0"/>
        <v>0.90482705246601947</v>
      </c>
      <c r="D19" s="2">
        <f t="shared" si="4"/>
        <v>-0.23952388045047346</v>
      </c>
      <c r="E19" s="2">
        <f t="shared" si="1"/>
        <v>-0.23952388045047346</v>
      </c>
      <c r="F19" s="28">
        <f t="shared" si="2"/>
        <v>-0.63980934459975847</v>
      </c>
      <c r="G19" s="28"/>
    </row>
    <row r="20" spans="2:7">
      <c r="B20" s="2">
        <f t="shared" si="3"/>
        <v>3.0159289474462008E-4</v>
      </c>
      <c r="C20" s="2">
        <f t="shared" si="0"/>
        <v>0.12533323356430454</v>
      </c>
      <c r="D20" s="2">
        <f t="shared" si="4"/>
        <v>0.43339073387508675</v>
      </c>
      <c r="E20" s="2">
        <f t="shared" si="1"/>
        <v>0.43339073387508675</v>
      </c>
      <c r="F20" s="28">
        <f t="shared" si="2"/>
        <v>-8.8623979361357158E-2</v>
      </c>
      <c r="G20" s="28"/>
    </row>
    <row r="21" spans="2:7">
      <c r="B21" s="2">
        <f t="shared" si="3"/>
        <v>4.0212385965949344E-4</v>
      </c>
      <c r="C21" s="2">
        <f t="shared" si="0"/>
        <v>-0.77051324277578936</v>
      </c>
      <c r="D21" s="2">
        <f t="shared" si="4"/>
        <v>0.70396861626223961</v>
      </c>
      <c r="E21" s="2">
        <f t="shared" si="1"/>
        <v>0.70396861626223961</v>
      </c>
      <c r="F21" s="28">
        <f t="shared" si="2"/>
        <v>0.54483513896079727</v>
      </c>
      <c r="G21" s="28"/>
    </row>
    <row r="22" spans="2:7">
      <c r="B22" s="2">
        <f t="shared" si="3"/>
        <v>5.0265482457436685E-4</v>
      </c>
      <c r="C22" s="2">
        <f t="shared" si="0"/>
        <v>-0.95105651629515364</v>
      </c>
      <c r="D22" s="2">
        <f t="shared" si="4"/>
        <v>0.32101976096010326</v>
      </c>
      <c r="E22" s="2">
        <f t="shared" si="1"/>
        <v>0.32101976096010326</v>
      </c>
      <c r="F22" s="28">
        <f t="shared" si="2"/>
        <v>0.67249851196395749</v>
      </c>
      <c r="G22" s="28"/>
    </row>
    <row r="23" spans="2:7">
      <c r="B23" s="2">
        <f t="shared" si="3"/>
        <v>6.0318578948924026E-4</v>
      </c>
      <c r="C23" s="2">
        <f t="shared" si="0"/>
        <v>-0.24868988716485363</v>
      </c>
      <c r="D23" s="2">
        <f t="shared" si="4"/>
        <v>-0.35994663698188839</v>
      </c>
      <c r="E23" s="2">
        <f t="shared" si="1"/>
        <v>-0.35994663698188839</v>
      </c>
      <c r="F23" s="28">
        <f t="shared" si="2"/>
        <v>0.17585030562678536</v>
      </c>
      <c r="G23" s="28"/>
    </row>
    <row r="24" spans="2:7">
      <c r="B24" s="2">
        <f t="shared" si="3"/>
        <v>7.0371675440411368E-4</v>
      </c>
      <c r="C24" s="2">
        <f t="shared" si="0"/>
        <v>0.68454710592868995</v>
      </c>
      <c r="D24" s="2">
        <f t="shared" si="4"/>
        <v>-0.70675786667505025</v>
      </c>
      <c r="E24" s="2">
        <f t="shared" si="1"/>
        <v>-0.70675786667505025</v>
      </c>
      <c r="F24" s="28">
        <f t="shared" si="2"/>
        <v>-0.4840479006438026</v>
      </c>
      <c r="G24" s="28"/>
    </row>
    <row r="25" spans="2:7">
      <c r="B25" s="2">
        <f t="shared" si="3"/>
        <v>8.0424771931898709E-4</v>
      </c>
      <c r="C25" s="2">
        <f t="shared" si="0"/>
        <v>0.98228725072868861</v>
      </c>
      <c r="D25" s="2">
        <f t="shared" si="4"/>
        <v>-0.39745296807148139</v>
      </c>
      <c r="E25" s="2">
        <f t="shared" si="1"/>
        <v>-0.39745296807148139</v>
      </c>
      <c r="F25" s="28">
        <f t="shared" si="2"/>
        <v>-0.69458197606334626</v>
      </c>
      <c r="G25" s="28"/>
    </row>
    <row r="26" spans="2:7">
      <c r="B26" s="2">
        <f t="shared" si="3"/>
        <v>9.0477868423386051E-4</v>
      </c>
      <c r="C26" s="2">
        <f t="shared" si="0"/>
        <v>0.36812455268467631</v>
      </c>
      <c r="D26" s="2">
        <f t="shared" si="4"/>
        <v>0.28082596660178732</v>
      </c>
      <c r="E26" s="2">
        <f t="shared" si="1"/>
        <v>0.28082596660178732</v>
      </c>
      <c r="F26" s="28">
        <f t="shared" si="2"/>
        <v>-0.26030336752459915</v>
      </c>
      <c r="G26" s="28"/>
    </row>
    <row r="27" spans="2:7">
      <c r="B27" s="2">
        <f t="shared" si="3"/>
        <v>1.0053096491487339E-3</v>
      </c>
      <c r="C27" s="2">
        <f t="shared" si="0"/>
        <v>-0.58778525229247569</v>
      </c>
      <c r="D27" s="2">
        <f t="shared" si="4"/>
        <v>0.69840112333371074</v>
      </c>
      <c r="E27" s="2">
        <f t="shared" si="1"/>
        <v>0.69840112333371074</v>
      </c>
      <c r="F27" s="28">
        <f t="shared" si="2"/>
        <v>0.4156269377774553</v>
      </c>
      <c r="G27" s="28"/>
    </row>
    <row r="28" spans="2:7">
      <c r="B28" s="2">
        <f t="shared" si="3"/>
        <v>1.1058406140636073E-3</v>
      </c>
      <c r="C28" s="2">
        <f t="shared" si="0"/>
        <v>-0.99802672842827134</v>
      </c>
      <c r="D28" s="2">
        <f t="shared" si="4"/>
        <v>0.46761810444947821</v>
      </c>
      <c r="E28" s="2">
        <f t="shared" si="1"/>
        <v>0.46761810444947821</v>
      </c>
      <c r="F28" s="28">
        <f t="shared" si="2"/>
        <v>0.7057114674770556</v>
      </c>
      <c r="G28" s="28"/>
    </row>
    <row r="29" spans="2:7">
      <c r="B29" s="2">
        <f t="shared" si="3"/>
        <v>1.2063715789784807E-3</v>
      </c>
      <c r="C29" s="2">
        <f t="shared" si="0"/>
        <v>-0.48175367410171166</v>
      </c>
      <c r="D29" s="2">
        <f t="shared" si="4"/>
        <v>-0.19727650297107638</v>
      </c>
      <c r="E29" s="2">
        <f t="shared" si="1"/>
        <v>-0.19727650297107638</v>
      </c>
      <c r="F29" s="28">
        <f t="shared" si="2"/>
        <v>0.3406512898188544</v>
      </c>
      <c r="G29" s="28"/>
    </row>
    <row r="30" spans="2:7">
      <c r="B30" s="2">
        <f t="shared" si="3"/>
        <v>1.3069025438933542E-3</v>
      </c>
      <c r="C30" s="2">
        <f t="shared" si="0"/>
        <v>0.48175367410171699</v>
      </c>
      <c r="D30" s="2">
        <f t="shared" si="4"/>
        <v>-0.67903017707279012</v>
      </c>
      <c r="E30" s="2">
        <f t="shared" si="1"/>
        <v>-0.67903017707279012</v>
      </c>
      <c r="F30" s="28">
        <f t="shared" si="2"/>
        <v>-0.34065128981885817</v>
      </c>
      <c r="G30" s="28"/>
    </row>
    <row r="31" spans="2:7">
      <c r="B31" s="2">
        <f t="shared" si="3"/>
        <v>1.4074335088082276E-3</v>
      </c>
      <c r="C31" s="2">
        <f t="shared" si="0"/>
        <v>0.99802672842827178</v>
      </c>
      <c r="D31" s="2">
        <f t="shared" si="4"/>
        <v>-0.53040862397879063</v>
      </c>
      <c r="E31" s="2">
        <f t="shared" si="1"/>
        <v>-0.53040862397879063</v>
      </c>
      <c r="F31" s="28">
        <f t="shared" si="2"/>
        <v>-0.70571146747705593</v>
      </c>
      <c r="G31" s="28"/>
    </row>
    <row r="32" spans="2:7">
      <c r="B32" s="2">
        <f t="shared" si="3"/>
        <v>1.507964473723101E-3</v>
      </c>
      <c r="C32" s="2">
        <f t="shared" si="0"/>
        <v>0.58778525229246925</v>
      </c>
      <c r="D32" s="2">
        <f t="shared" si="4"/>
        <v>0.11061587104123984</v>
      </c>
      <c r="E32" s="2">
        <f t="shared" si="1"/>
        <v>0.11061587104123984</v>
      </c>
      <c r="F32" s="28">
        <f t="shared" si="2"/>
        <v>-0.41562693777745074</v>
      </c>
      <c r="G32" s="28"/>
    </row>
    <row r="33" spans="2:11">
      <c r="B33" s="2">
        <f t="shared" si="3"/>
        <v>1.6084954386379744E-3</v>
      </c>
      <c r="C33" s="2">
        <f t="shared" si="0"/>
        <v>-0.36812455268468203</v>
      </c>
      <c r="D33" s="2">
        <f t="shared" si="4"/>
        <v>0.6489505192864663</v>
      </c>
      <c r="E33" s="2">
        <f t="shared" si="1"/>
        <v>0.6489505192864663</v>
      </c>
      <c r="F33" s="28">
        <f t="shared" si="2"/>
        <v>0.2603033675246032</v>
      </c>
      <c r="G33" s="28"/>
    </row>
    <row r="34" spans="2:11">
      <c r="B34" s="2">
        <f t="shared" si="3"/>
        <v>1.7090264035528478E-3</v>
      </c>
      <c r="C34" s="2">
        <f t="shared" si="0"/>
        <v>-0.98228725072868972</v>
      </c>
      <c r="D34" s="2">
        <f t="shared" si="4"/>
        <v>0.58483428265720416</v>
      </c>
      <c r="E34" s="2">
        <f t="shared" si="1"/>
        <v>0.58483428265720416</v>
      </c>
      <c r="F34" s="28">
        <f t="shared" si="2"/>
        <v>0.69458197606334704</v>
      </c>
      <c r="G34" s="28"/>
    </row>
    <row r="35" spans="2:11">
      <c r="B35" s="2">
        <f t="shared" si="3"/>
        <v>1.8095573684677212E-3</v>
      </c>
      <c r="C35" s="2">
        <f t="shared" si="0"/>
        <v>-0.68454710592868351</v>
      </c>
      <c r="D35" s="2">
        <f t="shared" si="4"/>
        <v>-2.2210760746367061E-2</v>
      </c>
      <c r="E35" s="2">
        <f t="shared" si="1"/>
        <v>-2.2210760746367061E-2</v>
      </c>
      <c r="F35" s="28">
        <f t="shared" si="2"/>
        <v>0.48404790064379805</v>
      </c>
      <c r="G35" s="28"/>
    </row>
    <row r="36" spans="2:11">
      <c r="B36" s="2">
        <f t="shared" si="3"/>
        <v>1.9100883333825946E-3</v>
      </c>
      <c r="C36" s="2">
        <f t="shared" si="0"/>
        <v>0.24868988716486301</v>
      </c>
      <c r="D36" s="2">
        <f t="shared" si="4"/>
        <v>-0.60863652414674652</v>
      </c>
      <c r="E36" s="2">
        <f t="shared" si="1"/>
        <v>-0.60863652414674652</v>
      </c>
      <c r="F36" s="28">
        <f t="shared" si="2"/>
        <v>-0.17585030562679202</v>
      </c>
      <c r="G36" s="28"/>
      <c r="H36" s="6" t="s">
        <v>65</v>
      </c>
    </row>
    <row r="37" spans="2:11">
      <c r="B37" s="2">
        <f t="shared" si="3"/>
        <v>2.0106192982974678E-3</v>
      </c>
      <c r="C37" s="2">
        <f t="shared" si="0"/>
        <v>0.95105651629515553</v>
      </c>
      <c r="D37" s="2">
        <f t="shared" si="4"/>
        <v>-0.63003675533504833</v>
      </c>
      <c r="E37" s="2">
        <f t="shared" si="1"/>
        <v>-0.63003675533504833</v>
      </c>
      <c r="F37" s="28">
        <f t="shared" si="2"/>
        <v>-0.67249851196395882</v>
      </c>
      <c r="G37" s="28"/>
      <c r="H37" s="12" t="s">
        <v>64</v>
      </c>
      <c r="I37" s="12">
        <f>I3</f>
        <v>5</v>
      </c>
      <c r="J37" s="12" t="s">
        <v>17</v>
      </c>
      <c r="K37" s="13" t="str">
        <f>TRIM(H37)&amp;"   "&amp;IF(I37&gt;0,"+","")&amp;TRIM(I37)&amp;" "&amp;TRIM(J37)</f>
        <v>V+:   +5 V</v>
      </c>
    </row>
    <row r="38" spans="2:11">
      <c r="B38" s="2">
        <f t="shared" si="3"/>
        <v>2.1111502632123413E-3</v>
      </c>
      <c r="C38" s="2">
        <f t="shared" si="0"/>
        <v>0.77051324277578437</v>
      </c>
      <c r="D38" s="2">
        <f t="shared" si="4"/>
        <v>-6.6544626513546243E-2</v>
      </c>
      <c r="E38" s="2">
        <f t="shared" si="1"/>
        <v>-6.6544626513546243E-2</v>
      </c>
      <c r="F38" s="28">
        <f t="shared" si="2"/>
        <v>-0.54483513896079383</v>
      </c>
      <c r="G38" s="28"/>
      <c r="H38" s="12" t="s">
        <v>66</v>
      </c>
      <c r="I38" s="12">
        <f>I4</f>
        <v>-5</v>
      </c>
      <c r="J38" s="12" t="s">
        <v>17</v>
      </c>
      <c r="K38" s="13" t="str">
        <f t="shared" ref="K38:K39" si="5">TRIM(H38)&amp;"   "&amp;IF(I38&gt;0,"+","")&amp;TRIM(I38)&amp;" "&amp;TRIM(J38)</f>
        <v>V-:   -5 V</v>
      </c>
    </row>
    <row r="39" spans="2:11">
      <c r="B39" s="2">
        <f t="shared" si="3"/>
        <v>2.2116812281272147E-3</v>
      </c>
      <c r="C39" s="2">
        <f t="shared" si="0"/>
        <v>-0.12533323356430973</v>
      </c>
      <c r="D39" s="2">
        <f t="shared" si="4"/>
        <v>0.5587239674393939</v>
      </c>
      <c r="E39" s="2">
        <f t="shared" si="1"/>
        <v>0.5587239674393939</v>
      </c>
      <c r="F39" s="28">
        <f t="shared" si="2"/>
        <v>8.8623979361360822E-2</v>
      </c>
      <c r="G39" s="28"/>
      <c r="H39" s="12" t="s">
        <v>29</v>
      </c>
      <c r="I39" s="12">
        <f>I9</f>
        <v>1</v>
      </c>
      <c r="J39" s="12" t="s">
        <v>17</v>
      </c>
      <c r="K39" s="13" t="str">
        <f t="shared" si="5"/>
        <v>Vin:   +1 V</v>
      </c>
    </row>
    <row r="40" spans="2:11">
      <c r="B40" s="2">
        <f t="shared" si="3"/>
        <v>2.3122121930420881E-3</v>
      </c>
      <c r="C40" s="2">
        <f t="shared" si="0"/>
        <v>-0.90482705246602246</v>
      </c>
      <c r="D40" s="2">
        <f t="shared" si="4"/>
        <v>0.66530317201554434</v>
      </c>
      <c r="E40" s="2">
        <f t="shared" si="1"/>
        <v>0.66530317201554434</v>
      </c>
      <c r="F40" s="28">
        <f t="shared" si="2"/>
        <v>0.63980934459976058</v>
      </c>
      <c r="G40" s="28"/>
      <c r="H40" s="12" t="s">
        <v>67</v>
      </c>
      <c r="I40" s="12">
        <f>C2</f>
        <v>1</v>
      </c>
      <c r="J40" s="12" t="s">
        <v>16</v>
      </c>
      <c r="K40" s="13" t="str">
        <f>TRIM(H40)&amp;"   "&amp;TRIM(I40)&amp;" "&amp;TRIM(J40)</f>
        <v>R1:   1 K</v>
      </c>
    </row>
    <row r="41" spans="2:11">
      <c r="B41" s="2">
        <f t="shared" si="3"/>
        <v>2.4127431579569615E-3</v>
      </c>
      <c r="C41" s="2">
        <f t="shared" si="0"/>
        <v>-0.84432792550201063</v>
      </c>
      <c r="D41" s="2">
        <f t="shared" si="4"/>
        <v>0.15425056526150296</v>
      </c>
      <c r="E41" s="2">
        <f t="shared" si="1"/>
        <v>0.15425056526150296</v>
      </c>
      <c r="F41" s="28">
        <f t="shared" si="2"/>
        <v>0.59703000166764197</v>
      </c>
      <c r="G41" s="28"/>
      <c r="H41" s="12" t="s">
        <v>100</v>
      </c>
      <c r="I41" s="12">
        <f>C3</f>
        <v>0.1</v>
      </c>
      <c r="J41" s="12" t="s">
        <v>83</v>
      </c>
      <c r="K41" s="13" t="str">
        <f>TRIM(H41)&amp;"   "&amp;TRIM(I41)&amp;" "&amp;TRIM(J41)</f>
        <v>C1:   0.1 uF</v>
      </c>
    </row>
    <row r="42" spans="2:11">
      <c r="B42" s="2">
        <f t="shared" si="3"/>
        <v>2.5132741228718349E-3</v>
      </c>
      <c r="C42" s="2">
        <f t="shared" si="0"/>
        <v>9.6780222724746068E-15</v>
      </c>
      <c r="D42" s="2">
        <f t="shared" si="4"/>
        <v>-0.50000000000000355</v>
      </c>
      <c r="E42" s="2">
        <f t="shared" si="1"/>
        <v>-0.50000000000000355</v>
      </c>
      <c r="F42" s="28">
        <f t="shared" si="2"/>
        <v>-6.8433951773412358E-15</v>
      </c>
      <c r="G42" s="28"/>
      <c r="H42" s="12" t="s">
        <v>101</v>
      </c>
      <c r="I42" s="12">
        <f>ROUND(C9,0)</f>
        <v>1592</v>
      </c>
      <c r="J42" s="12" t="s">
        <v>80</v>
      </c>
      <c r="K42" s="13" t="str">
        <f>TRIM(H42)&amp;"   "&amp;TRIM(I42)&amp;" "&amp;TRIM(J42)</f>
        <v>f,signal:   1592 Hz</v>
      </c>
    </row>
    <row r="44" spans="2:11">
      <c r="B44" s="6" t="s">
        <v>92</v>
      </c>
    </row>
    <row r="45" spans="2:11" ht="15.75">
      <c r="B45" s="14"/>
      <c r="C45" s="2" t="s">
        <v>95</v>
      </c>
    </row>
    <row r="46" spans="2:11">
      <c r="B46" s="7" t="s">
        <v>93</v>
      </c>
      <c r="C46" s="7" t="s">
        <v>94</v>
      </c>
      <c r="D46" s="7" t="s">
        <v>97</v>
      </c>
      <c r="E46" s="7" t="s">
        <v>218</v>
      </c>
    </row>
    <row r="47" spans="2:11">
      <c r="B47" s="2">
        <v>1</v>
      </c>
      <c r="C47" s="2">
        <f t="shared" ref="C47:C78" si="6">20*LOG(-$C$6*(B47/$C$11)/SQRT(1+(B47/$C$11)^2))</f>
        <v>-64.036404347363259</v>
      </c>
      <c r="D47" s="2">
        <f t="shared" ref="D47:D78" si="7">1/(2*PI()*B47*$C$3*0.000001)</f>
        <v>1591549.4309189534</v>
      </c>
      <c r="E47" s="2">
        <f t="shared" ref="E47:E78" si="8">20*LOG(($C$4*1000)/SQRT(($C$2*1000)^2+D47^2))</f>
        <v>-64.036404347363259</v>
      </c>
    </row>
    <row r="48" spans="2:11">
      <c r="B48" s="2">
        <v>2</v>
      </c>
      <c r="C48" s="2">
        <f t="shared" si="6"/>
        <v>-58.015809577656228</v>
      </c>
      <c r="D48" s="2">
        <f t="shared" si="7"/>
        <v>795774.71545947669</v>
      </c>
      <c r="E48" s="2">
        <f t="shared" si="8"/>
        <v>-58.015809577656228</v>
      </c>
    </row>
    <row r="49" spans="2:22">
      <c r="B49" s="2">
        <v>3</v>
      </c>
      <c r="C49" s="2">
        <f t="shared" si="6"/>
        <v>-54.493992969150071</v>
      </c>
      <c r="D49" s="2">
        <f t="shared" si="7"/>
        <v>530516.4769729845</v>
      </c>
      <c r="E49" s="2">
        <f t="shared" si="8"/>
        <v>-54.493992969150071</v>
      </c>
    </row>
    <row r="50" spans="2:22">
      <c r="B50" s="2">
        <v>4</v>
      </c>
      <c r="C50" s="2">
        <f t="shared" si="6"/>
        <v>-51.995230238606084</v>
      </c>
      <c r="D50" s="2">
        <f t="shared" si="7"/>
        <v>397887.35772973835</v>
      </c>
      <c r="E50" s="2">
        <f t="shared" si="8"/>
        <v>-51.995230238606084</v>
      </c>
    </row>
    <row r="51" spans="2:22">
      <c r="B51" s="2">
        <v>5</v>
      </c>
      <c r="C51" s="2">
        <f t="shared" si="6"/>
        <v>-50.057045409053103</v>
      </c>
      <c r="D51" s="2">
        <f t="shared" si="7"/>
        <v>318309.88618379069</v>
      </c>
      <c r="E51" s="2">
        <f t="shared" si="8"/>
        <v>-50.057045409053103</v>
      </c>
    </row>
    <row r="52" spans="2:22">
      <c r="B52" s="2">
        <v>6</v>
      </c>
      <c r="C52" s="2">
        <f t="shared" si="6"/>
        <v>-48.473439347658328</v>
      </c>
      <c r="D52" s="2">
        <f t="shared" si="7"/>
        <v>265258.23848649225</v>
      </c>
      <c r="E52" s="2">
        <f t="shared" si="8"/>
        <v>-48.473439347658328</v>
      </c>
      <c r="V52" s="2" t="s">
        <v>292</v>
      </c>
    </row>
    <row r="53" spans="2:22">
      <c r="B53" s="2">
        <v>7</v>
      </c>
      <c r="C53" s="2">
        <f t="shared" si="6"/>
        <v>-47.134525843508698</v>
      </c>
      <c r="D53" s="2">
        <f t="shared" si="7"/>
        <v>227364.20441699337</v>
      </c>
      <c r="E53" s="2">
        <f t="shared" si="8"/>
        <v>-47.134525843508698</v>
      </c>
      <c r="V53" s="2" t="s">
        <v>294</v>
      </c>
    </row>
    <row r="54" spans="2:22">
      <c r="B54" s="2">
        <v>8</v>
      </c>
      <c r="C54" s="2">
        <f t="shared" si="6"/>
        <v>-45.974712621269717</v>
      </c>
      <c r="D54" s="2">
        <f t="shared" si="7"/>
        <v>198943.67886486917</v>
      </c>
      <c r="E54" s="2">
        <f t="shared" si="8"/>
        <v>-45.974712621269717</v>
      </c>
    </row>
    <row r="55" spans="2:22">
      <c r="B55" s="2">
        <v>9</v>
      </c>
      <c r="C55" s="2">
        <f t="shared" si="6"/>
        <v>-44.95169131842804</v>
      </c>
      <c r="D55" s="2">
        <f t="shared" si="7"/>
        <v>176838.82565766151</v>
      </c>
      <c r="E55" s="2">
        <f t="shared" si="8"/>
        <v>-44.95169131842804</v>
      </c>
    </row>
    <row r="56" spans="2:22">
      <c r="B56" s="2">
        <v>10</v>
      </c>
      <c r="C56" s="2">
        <f t="shared" si="6"/>
        <v>-44.036574082042648</v>
      </c>
      <c r="D56" s="2">
        <f t="shared" si="7"/>
        <v>159154.94309189534</v>
      </c>
      <c r="E56" s="2">
        <f t="shared" si="8"/>
        <v>-44.036574082042648</v>
      </c>
    </row>
    <row r="57" spans="2:22">
      <c r="B57" s="2">
        <v>20</v>
      </c>
      <c r="C57" s="2">
        <f t="shared" si="6"/>
        <v>-38.016488475771155</v>
      </c>
      <c r="D57" s="2">
        <f t="shared" si="7"/>
        <v>79577.471545947672</v>
      </c>
      <c r="E57" s="2">
        <f t="shared" si="8"/>
        <v>-38.016488475771155</v>
      </c>
    </row>
    <row r="58" spans="2:22">
      <c r="B58" s="2">
        <v>30</v>
      </c>
      <c r="C58" s="2">
        <f t="shared" si="6"/>
        <v>-34.495520337680738</v>
      </c>
      <c r="D58" s="2">
        <f t="shared" si="7"/>
        <v>53051.647697298446</v>
      </c>
      <c r="E58" s="2">
        <f t="shared" si="8"/>
        <v>-34.495520337680738</v>
      </c>
    </row>
    <row r="59" spans="2:22">
      <c r="B59" s="2">
        <v>40</v>
      </c>
      <c r="C59" s="2">
        <f t="shared" si="6"/>
        <v>-31.997945181679654</v>
      </c>
      <c r="D59" s="2">
        <f t="shared" si="7"/>
        <v>39788.735772973836</v>
      </c>
      <c r="E59" s="2">
        <f t="shared" si="8"/>
        <v>-31.997945181679647</v>
      </c>
    </row>
    <row r="60" spans="2:22">
      <c r="B60" s="2">
        <v>50</v>
      </c>
      <c r="C60" s="2">
        <f t="shared" si="6"/>
        <v>-30.061286747026475</v>
      </c>
      <c r="D60" s="2">
        <f t="shared" si="7"/>
        <v>31830.988618379066</v>
      </c>
      <c r="E60" s="2">
        <f t="shared" si="8"/>
        <v>-30.061286747026472</v>
      </c>
    </row>
    <row r="61" spans="2:22">
      <c r="B61" s="2">
        <v>60</v>
      </c>
      <c r="C61" s="2">
        <f t="shared" si="6"/>
        <v>-28.479545536424663</v>
      </c>
      <c r="D61" s="2">
        <f t="shared" si="7"/>
        <v>26525.823848649223</v>
      </c>
      <c r="E61" s="2">
        <f t="shared" si="8"/>
        <v>-28.479545536424659</v>
      </c>
    </row>
    <row r="62" spans="2:22">
      <c r="B62" s="2">
        <v>70</v>
      </c>
      <c r="C62" s="2">
        <f t="shared" si="6"/>
        <v>-27.142834894090729</v>
      </c>
      <c r="D62" s="2">
        <f t="shared" si="7"/>
        <v>22736.420441699334</v>
      </c>
      <c r="E62" s="2">
        <f t="shared" si="8"/>
        <v>-27.142834894090726</v>
      </c>
    </row>
    <row r="63" spans="2:22">
      <c r="B63" s="2">
        <v>80</v>
      </c>
      <c r="C63" s="2">
        <f t="shared" si="6"/>
        <v>-25.985562019762796</v>
      </c>
      <c r="D63" s="2">
        <f t="shared" si="7"/>
        <v>19894.367886486918</v>
      </c>
      <c r="E63" s="2">
        <f t="shared" si="8"/>
        <v>-25.985562019762796</v>
      </c>
    </row>
    <row r="64" spans="2:22">
      <c r="B64" s="2">
        <v>90</v>
      </c>
      <c r="C64" s="2">
        <f t="shared" si="6"/>
        <v>-24.965417946355046</v>
      </c>
      <c r="D64" s="2">
        <f t="shared" si="7"/>
        <v>17683.882565766147</v>
      </c>
      <c r="E64" s="2">
        <f t="shared" si="8"/>
        <v>-24.965417946355043</v>
      </c>
    </row>
    <row r="65" spans="2:5">
      <c r="B65" s="2">
        <v>100</v>
      </c>
      <c r="C65" s="2">
        <f t="shared" si="6"/>
        <v>-24.053514137182283</v>
      </c>
      <c r="D65" s="2">
        <f t="shared" si="7"/>
        <v>15915.494309189533</v>
      </c>
      <c r="E65" s="2">
        <f t="shared" si="8"/>
        <v>-24.053514137182283</v>
      </c>
    </row>
    <row r="66" spans="2:5">
      <c r="B66" s="2">
        <v>200</v>
      </c>
      <c r="C66" s="2">
        <f t="shared" si="6"/>
        <v>-18.083847895032541</v>
      </c>
      <c r="D66" s="2">
        <f t="shared" si="7"/>
        <v>7957.7471545947665</v>
      </c>
      <c r="E66" s="2">
        <f t="shared" si="8"/>
        <v>-18.083847895032541</v>
      </c>
    </row>
    <row r="67" spans="2:5">
      <c r="B67" s="2">
        <v>300</v>
      </c>
      <c r="C67" s="2">
        <f t="shared" si="6"/>
        <v>-14.645606805642606</v>
      </c>
      <c r="D67" s="2">
        <f t="shared" si="7"/>
        <v>5305.1647697298449</v>
      </c>
      <c r="E67" s="2">
        <f t="shared" si="8"/>
        <v>-14.645606805642604</v>
      </c>
    </row>
    <row r="68" spans="2:5">
      <c r="B68" s="2">
        <v>400</v>
      </c>
      <c r="C68" s="2">
        <f t="shared" si="6"/>
        <v>-12.261211428175207</v>
      </c>
      <c r="D68" s="2">
        <f t="shared" si="7"/>
        <v>3978.8735772973832</v>
      </c>
      <c r="E68" s="2">
        <f t="shared" si="8"/>
        <v>-12.261211428175205</v>
      </c>
    </row>
    <row r="69" spans="2:5">
      <c r="B69" s="2">
        <v>500</v>
      </c>
      <c r="C69" s="2">
        <f t="shared" si="6"/>
        <v>-10.465778154000846</v>
      </c>
      <c r="D69" s="2">
        <f t="shared" si="7"/>
        <v>3183.098861837907</v>
      </c>
      <c r="E69" s="2">
        <f t="shared" si="8"/>
        <v>-10.465778154000844</v>
      </c>
    </row>
    <row r="70" spans="2:5">
      <c r="B70" s="2">
        <v>600</v>
      </c>
      <c r="C70" s="2">
        <f t="shared" si="6"/>
        <v>-9.0505037504027825</v>
      </c>
      <c r="D70" s="2">
        <f t="shared" si="7"/>
        <v>2652.5823848649225</v>
      </c>
      <c r="E70" s="2">
        <f t="shared" si="8"/>
        <v>-9.0505037504027825</v>
      </c>
    </row>
    <row r="71" spans="2:5">
      <c r="B71" s="2">
        <v>700</v>
      </c>
      <c r="C71" s="2">
        <f t="shared" si="6"/>
        <v>-7.902463182807951</v>
      </c>
      <c r="D71" s="2">
        <f t="shared" si="7"/>
        <v>2273.6420441699333</v>
      </c>
      <c r="E71" s="2">
        <f t="shared" si="8"/>
        <v>-7.9024631828079475</v>
      </c>
    </row>
    <row r="72" spans="2:5">
      <c r="B72" s="2">
        <v>800</v>
      </c>
      <c r="C72" s="2">
        <f t="shared" si="6"/>
        <v>-6.9529414828150209</v>
      </c>
      <c r="D72" s="2">
        <f t="shared" si="7"/>
        <v>1989.4367886486916</v>
      </c>
      <c r="E72" s="2">
        <f t="shared" si="8"/>
        <v>-6.9529414828150191</v>
      </c>
    </row>
    <row r="73" spans="2:5">
      <c r="B73" s="2">
        <v>900</v>
      </c>
      <c r="C73" s="2">
        <f t="shared" si="6"/>
        <v>-6.1565520191868082</v>
      </c>
      <c r="D73" s="2">
        <f t="shared" si="7"/>
        <v>1768.388256576615</v>
      </c>
      <c r="E73" s="2">
        <f t="shared" si="8"/>
        <v>-6.1565520191868082</v>
      </c>
    </row>
    <row r="74" spans="2:5">
      <c r="B74" s="2">
        <v>1000</v>
      </c>
      <c r="C74" s="2">
        <f t="shared" si="6"/>
        <v>-5.4814727490429869</v>
      </c>
      <c r="D74" s="2">
        <f t="shared" si="7"/>
        <v>1591.5494309189535</v>
      </c>
      <c r="E74" s="2">
        <f t="shared" si="8"/>
        <v>-5.481472749042986</v>
      </c>
    </row>
    <row r="75" spans="2:5">
      <c r="B75" s="2">
        <v>2000</v>
      </c>
      <c r="C75" s="2">
        <f t="shared" si="6"/>
        <v>-2.1305463398327849</v>
      </c>
      <c r="D75" s="2">
        <f t="shared" si="7"/>
        <v>795.77471545947674</v>
      </c>
      <c r="E75" s="2">
        <f t="shared" si="8"/>
        <v>-2.1305463398327862</v>
      </c>
    </row>
    <row r="76" spans="2:5">
      <c r="B76" s="2">
        <v>3000</v>
      </c>
      <c r="C76" s="2">
        <f t="shared" si="6"/>
        <v>-1.0770089688832909</v>
      </c>
      <c r="D76" s="2">
        <f t="shared" si="7"/>
        <v>530.51647697298449</v>
      </c>
      <c r="E76" s="2">
        <f t="shared" si="8"/>
        <v>-1.0770089688832887</v>
      </c>
    </row>
    <row r="77" spans="2:5">
      <c r="B77" s="2">
        <v>4000</v>
      </c>
      <c r="C77" s="2">
        <f t="shared" si="6"/>
        <v>-0.63826436508185269</v>
      </c>
      <c r="D77" s="2">
        <f t="shared" si="7"/>
        <v>397.88735772973837</v>
      </c>
      <c r="E77" s="2">
        <f t="shared" si="8"/>
        <v>-0.6382643650818538</v>
      </c>
    </row>
    <row r="78" spans="2:5">
      <c r="B78" s="2">
        <v>5000</v>
      </c>
      <c r="C78" s="2">
        <f t="shared" si="6"/>
        <v>-0.41913992851628978</v>
      </c>
      <c r="D78" s="2">
        <f t="shared" si="7"/>
        <v>318.30988618379064</v>
      </c>
      <c r="E78" s="2">
        <f t="shared" si="8"/>
        <v>-0.41913992851628978</v>
      </c>
    </row>
    <row r="79" spans="2:5">
      <c r="B79" s="2">
        <v>6000</v>
      </c>
      <c r="C79" s="2">
        <f t="shared" ref="C79:C101" si="9">20*LOG(-$C$6*(B79/$C$11)/SQRT(1+(B79/$C$11)^2))</f>
        <v>-0.29530655220904345</v>
      </c>
      <c r="D79" s="2">
        <f t="shared" ref="D79:D101" si="10">1/(2*PI()*B79*$C$3*0.000001)</f>
        <v>265.25823848649225</v>
      </c>
      <c r="E79" s="2">
        <f t="shared" ref="E79:E101" si="11">20*LOG(($C$4*1000)/SQRT(($C$2*1000)^2+D79^2))</f>
        <v>-0.29530655220904345</v>
      </c>
    </row>
    <row r="80" spans="2:5">
      <c r="B80" s="2">
        <v>7000</v>
      </c>
      <c r="C80" s="2">
        <f t="shared" si="9"/>
        <v>-0.21889595054388702</v>
      </c>
      <c r="D80" s="2">
        <f t="shared" si="10"/>
        <v>227.36420441699337</v>
      </c>
      <c r="E80" s="2">
        <f t="shared" si="11"/>
        <v>-0.21889595054388805</v>
      </c>
    </row>
    <row r="81" spans="2:5">
      <c r="B81" s="2">
        <v>8000</v>
      </c>
      <c r="C81" s="2">
        <f t="shared" si="9"/>
        <v>-0.16857325574029966</v>
      </c>
      <c r="D81" s="2">
        <f t="shared" si="10"/>
        <v>198.94367886486918</v>
      </c>
      <c r="E81" s="2">
        <f t="shared" si="11"/>
        <v>-0.16857325574029966</v>
      </c>
    </row>
    <row r="82" spans="2:5">
      <c r="B82" s="2">
        <v>9000</v>
      </c>
      <c r="C82" s="2">
        <f t="shared" si="9"/>
        <v>-0.13373213883836513</v>
      </c>
      <c r="D82" s="2">
        <f t="shared" si="10"/>
        <v>176.83882565766146</v>
      </c>
      <c r="E82" s="2">
        <f t="shared" si="11"/>
        <v>-0.13373213883836513</v>
      </c>
    </row>
    <row r="83" spans="2:5">
      <c r="B83" s="2">
        <v>10000</v>
      </c>
      <c r="C83" s="2">
        <f t="shared" si="9"/>
        <v>-0.1086378986432171</v>
      </c>
      <c r="D83" s="2">
        <f t="shared" si="10"/>
        <v>159.15494309189532</v>
      </c>
      <c r="E83" s="2">
        <f t="shared" si="11"/>
        <v>-0.1086378986432171</v>
      </c>
    </row>
    <row r="84" spans="2:5">
      <c r="B84" s="2">
        <v>20000</v>
      </c>
      <c r="C84" s="2">
        <f t="shared" si="9"/>
        <v>-2.7415305948140126E-2</v>
      </c>
      <c r="D84" s="2">
        <f t="shared" si="10"/>
        <v>79.57747154594766</v>
      </c>
      <c r="E84" s="2">
        <f t="shared" si="11"/>
        <v>-2.7415305948140126E-2</v>
      </c>
    </row>
    <row r="85" spans="2:5">
      <c r="B85" s="2">
        <v>30000</v>
      </c>
      <c r="C85" s="2">
        <f t="shared" si="9"/>
        <v>-1.2205951069602282E-2</v>
      </c>
      <c r="D85" s="2">
        <f t="shared" si="10"/>
        <v>53.051647697298449</v>
      </c>
      <c r="E85" s="2">
        <f t="shared" si="11"/>
        <v>-1.2205951069602282E-2</v>
      </c>
    </row>
    <row r="86" spans="2:5">
      <c r="B86" s="2">
        <v>40000</v>
      </c>
      <c r="C86" s="2">
        <f t="shared" si="9"/>
        <v>-6.8700681187759752E-3</v>
      </c>
      <c r="D86" s="2">
        <f t="shared" si="10"/>
        <v>39.78873577297383</v>
      </c>
      <c r="E86" s="2">
        <f t="shared" si="11"/>
        <v>-6.8700681187759752E-3</v>
      </c>
    </row>
    <row r="87" spans="2:5">
      <c r="B87" s="2">
        <v>50000</v>
      </c>
      <c r="C87" s="2">
        <f t="shared" si="9"/>
        <v>-4.3980953704993043E-3</v>
      </c>
      <c r="D87" s="2">
        <f t="shared" si="10"/>
        <v>31.830988618379067</v>
      </c>
      <c r="E87" s="2">
        <f t="shared" si="11"/>
        <v>-4.3980953704993043E-3</v>
      </c>
    </row>
    <row r="88" spans="2:5">
      <c r="B88" s="2">
        <v>60000</v>
      </c>
      <c r="C88" s="2">
        <f t="shared" si="9"/>
        <v>-3.0547053785892125E-3</v>
      </c>
      <c r="D88" s="2">
        <f t="shared" si="10"/>
        <v>26.525823848649225</v>
      </c>
      <c r="E88" s="2">
        <f t="shared" si="11"/>
        <v>-3.0547053785901774E-3</v>
      </c>
    </row>
    <row r="89" spans="2:5">
      <c r="B89" s="2">
        <v>70000</v>
      </c>
      <c r="C89" s="2">
        <f t="shared" si="9"/>
        <v>-2.2444827169850251E-3</v>
      </c>
      <c r="D89" s="2">
        <f t="shared" si="10"/>
        <v>22.736420441699334</v>
      </c>
      <c r="E89" s="2">
        <f t="shared" si="11"/>
        <v>-2.2444827169850251E-3</v>
      </c>
    </row>
    <row r="90" spans="2:5">
      <c r="B90" s="2">
        <v>80000</v>
      </c>
      <c r="C90" s="2">
        <f t="shared" si="9"/>
        <v>-1.7185361454735751E-3</v>
      </c>
      <c r="D90" s="2">
        <f t="shared" si="10"/>
        <v>19.894367886486915</v>
      </c>
      <c r="E90" s="2">
        <f t="shared" si="11"/>
        <v>-1.7185361454735751E-3</v>
      </c>
    </row>
    <row r="91" spans="2:5">
      <c r="B91" s="2">
        <v>90000</v>
      </c>
      <c r="C91" s="2">
        <f t="shared" si="9"/>
        <v>-1.3579121003449407E-3</v>
      </c>
      <c r="D91" s="2">
        <f t="shared" si="10"/>
        <v>17.683882565766147</v>
      </c>
      <c r="E91" s="2">
        <f t="shared" si="11"/>
        <v>-1.3579121003459054E-3</v>
      </c>
    </row>
    <row r="92" spans="2:5">
      <c r="B92" s="2">
        <v>100000</v>
      </c>
      <c r="C92" s="2">
        <f t="shared" si="9"/>
        <v>-1.0999414705602853E-3</v>
      </c>
      <c r="D92" s="2">
        <f t="shared" si="10"/>
        <v>15.915494309189533</v>
      </c>
      <c r="E92" s="2">
        <f t="shared" si="11"/>
        <v>-1.0999414705593208E-3</v>
      </c>
    </row>
    <row r="93" spans="2:5">
      <c r="B93" s="2">
        <v>200000</v>
      </c>
      <c r="C93" s="2">
        <f t="shared" si="9"/>
        <v>-2.7501148591186036E-4</v>
      </c>
      <c r="D93" s="2">
        <f t="shared" si="10"/>
        <v>7.9577471545947667</v>
      </c>
      <c r="E93" s="2">
        <f t="shared" si="11"/>
        <v>-2.7501148591282476E-4</v>
      </c>
    </row>
    <row r="94" spans="2:5">
      <c r="B94" s="2">
        <v>300000</v>
      </c>
      <c r="C94" s="2">
        <f t="shared" si="9"/>
        <v>-1.2222947704761892E-4</v>
      </c>
      <c r="D94" s="2">
        <f t="shared" si="10"/>
        <v>5.3051647697298447</v>
      </c>
      <c r="E94" s="2">
        <f t="shared" si="11"/>
        <v>-1.2222947704761892E-4</v>
      </c>
    </row>
    <row r="95" spans="2:5">
      <c r="B95" s="2">
        <v>400000</v>
      </c>
      <c r="C95" s="2">
        <f t="shared" si="9"/>
        <v>-6.8754504128880093E-5</v>
      </c>
      <c r="D95" s="2">
        <f t="shared" si="10"/>
        <v>3.9788735772973833</v>
      </c>
      <c r="E95" s="2">
        <f t="shared" si="11"/>
        <v>-6.8754504127915749E-5</v>
      </c>
    </row>
    <row r="96" spans="2:5">
      <c r="B96" s="2">
        <v>500000</v>
      </c>
      <c r="C96" s="2">
        <f t="shared" si="9"/>
        <v>-4.4003008033814247E-5</v>
      </c>
      <c r="D96" s="2">
        <f t="shared" si="10"/>
        <v>3.1830988618379075</v>
      </c>
      <c r="E96" s="2">
        <f t="shared" si="11"/>
        <v>-4.4003008034778577E-5</v>
      </c>
    </row>
    <row r="97" spans="2:5">
      <c r="B97" s="2">
        <v>600000</v>
      </c>
      <c r="C97" s="2">
        <f t="shared" si="9"/>
        <v>-3.0557691770040345E-5</v>
      </c>
      <c r="D97" s="2">
        <f t="shared" si="10"/>
        <v>2.6525823848649224</v>
      </c>
      <c r="E97" s="2">
        <f t="shared" si="11"/>
        <v>-3.0557691771004675E-5</v>
      </c>
    </row>
    <row r="98" spans="2:5">
      <c r="B98" s="2">
        <v>700000</v>
      </c>
      <c r="C98" s="2">
        <f t="shared" si="9"/>
        <v>-2.2450570011073854E-5</v>
      </c>
      <c r="D98" s="2">
        <f t="shared" si="10"/>
        <v>2.2736420441699337</v>
      </c>
      <c r="E98" s="2">
        <f t="shared" si="11"/>
        <v>-2.2450570010109524E-5</v>
      </c>
    </row>
    <row r="99" spans="2:5">
      <c r="B99" s="2">
        <v>800000</v>
      </c>
      <c r="C99" s="2">
        <f t="shared" si="9"/>
        <v>-1.7188728077354363E-5</v>
      </c>
      <c r="D99" s="2">
        <f t="shared" si="10"/>
        <v>1.9894367886486917</v>
      </c>
      <c r="E99" s="2">
        <f t="shared" si="11"/>
        <v>-1.7188728076390032E-5</v>
      </c>
    </row>
    <row r="100" spans="2:5">
      <c r="B100" s="2">
        <v>900000</v>
      </c>
      <c r="C100" s="2">
        <f t="shared" si="9"/>
        <v>-1.3581222887220424E-5</v>
      </c>
      <c r="D100" s="2">
        <f t="shared" si="10"/>
        <v>1.7683882565766149</v>
      </c>
      <c r="E100" s="2">
        <f t="shared" si="11"/>
        <v>-1.3581222886256095E-5</v>
      </c>
    </row>
    <row r="101" spans="2:5">
      <c r="B101" s="2">
        <v>1000000</v>
      </c>
      <c r="C101" s="2">
        <f t="shared" si="9"/>
        <v>-1.1000793805966119E-5</v>
      </c>
      <c r="D101" s="2">
        <f t="shared" si="10"/>
        <v>1.5915494309189537</v>
      </c>
      <c r="E101" s="2">
        <f t="shared" si="11"/>
        <v>-1.1000793806930447E-5</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D14E0-7E96-4F07-9F79-D2BAA6D11D4C}">
  <sheetPr codeName="Sheet5"/>
  <dimension ref="B1:N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14" ht="47.25" thickBot="1">
      <c r="B1" s="1" t="s">
        <v>43</v>
      </c>
      <c r="N1" s="32" t="s">
        <v>279</v>
      </c>
    </row>
    <row r="2" spans="2:14" ht="15.75" thickBot="1">
      <c r="B2" s="2" t="s">
        <v>12</v>
      </c>
      <c r="C2" s="4">
        <v>1</v>
      </c>
      <c r="D2" s="2" t="s">
        <v>16</v>
      </c>
      <c r="G2" s="6" t="s">
        <v>36</v>
      </c>
    </row>
    <row r="3" spans="2:14" ht="15.75" thickBot="1">
      <c r="B3" s="2" t="s">
        <v>15</v>
      </c>
      <c r="C3" s="4">
        <v>3.5</v>
      </c>
      <c r="D3" s="2" t="s">
        <v>16</v>
      </c>
      <c r="G3" s="2" t="s">
        <v>9</v>
      </c>
      <c r="H3" s="4">
        <v>10</v>
      </c>
      <c r="I3" s="2" t="s">
        <v>18</v>
      </c>
    </row>
    <row r="4" spans="2:14" ht="15.75" thickBot="1">
      <c r="B4" s="2" t="s">
        <v>0</v>
      </c>
      <c r="C4" s="3">
        <v>0</v>
      </c>
      <c r="D4" s="2" t="s">
        <v>17</v>
      </c>
      <c r="G4" s="2" t="s">
        <v>10</v>
      </c>
      <c r="H4" s="15">
        <v>0</v>
      </c>
      <c r="I4" s="2" t="s">
        <v>19</v>
      </c>
    </row>
    <row r="5" spans="2:14" ht="15.75" thickBot="1">
      <c r="B5" s="2" t="s">
        <v>1</v>
      </c>
      <c r="C5" s="3">
        <f>-C3/C2</f>
        <v>-3.5</v>
      </c>
      <c r="D5" s="2" t="s">
        <v>39</v>
      </c>
      <c r="G5" s="2" t="s">
        <v>31</v>
      </c>
      <c r="H5" s="4">
        <v>0.5</v>
      </c>
      <c r="I5" s="2" t="s">
        <v>32</v>
      </c>
    </row>
    <row r="6" spans="2:14" ht="15.75" thickBot="1">
      <c r="B6" s="2" t="s">
        <v>25</v>
      </c>
      <c r="C6" s="4">
        <v>1</v>
      </c>
      <c r="D6" s="2" t="s">
        <v>38</v>
      </c>
    </row>
    <row r="8" spans="2:14" ht="15.75" thickBot="1">
      <c r="E8" s="6" t="s">
        <v>30</v>
      </c>
      <c r="G8" s="6" t="s">
        <v>33</v>
      </c>
    </row>
    <row r="9" spans="2:14" ht="15.75" thickBot="1">
      <c r="B9" s="7" t="s">
        <v>6</v>
      </c>
      <c r="C9" s="7" t="s">
        <v>7</v>
      </c>
      <c r="D9" s="7" t="s">
        <v>3</v>
      </c>
      <c r="E9" s="7" t="s">
        <v>3</v>
      </c>
      <c r="G9" s="6" t="s">
        <v>29</v>
      </c>
      <c r="H9" s="4">
        <v>2.5</v>
      </c>
      <c r="I9" s="2" t="s">
        <v>17</v>
      </c>
    </row>
    <row r="10" spans="2:14">
      <c r="B10" s="2">
        <v>0</v>
      </c>
      <c r="C10" s="2">
        <f t="shared" ref="C10:C35" si="0">$C$6*SIN($B10)+1</f>
        <v>1</v>
      </c>
      <c r="D10" s="2">
        <f t="shared" ref="D10:D35" si="1">$C$5*C10</f>
        <v>-3.5</v>
      </c>
      <c r="E10" s="2">
        <f t="shared" ref="E10:E35" si="2">IF(D10&gt;($H$3-$H$5),($H$3-$H$5),IF(D10&lt;($H$4+$H$5),($H$4+$H$5),D10))</f>
        <v>0.5</v>
      </c>
      <c r="G10" s="6" t="s">
        <v>34</v>
      </c>
      <c r="H10" s="3">
        <f>IF(H9*C5&gt;($H$3-$H$5),($H$3-$H$5),IF(H9*C5&lt;($H$4+$H$5),($H$4+$H$5),H9*C5))</f>
        <v>0.5</v>
      </c>
      <c r="I10" s="2" t="s">
        <v>17</v>
      </c>
    </row>
    <row r="11" spans="2:14">
      <c r="B11" s="2">
        <v>0.1</v>
      </c>
      <c r="C11" s="2">
        <f t="shared" si="0"/>
        <v>1.0998334166468282</v>
      </c>
      <c r="D11" s="2">
        <f t="shared" si="1"/>
        <v>-3.8494169582638986</v>
      </c>
      <c r="E11" s="2">
        <f t="shared" si="2"/>
        <v>0.5</v>
      </c>
    </row>
    <row r="12" spans="2:14">
      <c r="B12" s="2">
        <v>0.2</v>
      </c>
      <c r="C12" s="2">
        <f t="shared" si="0"/>
        <v>1.1986693307950613</v>
      </c>
      <c r="D12" s="2">
        <f t="shared" si="1"/>
        <v>-4.1953426577827146</v>
      </c>
      <c r="E12" s="2">
        <f t="shared" si="2"/>
        <v>0.5</v>
      </c>
    </row>
    <row r="13" spans="2:14">
      <c r="B13" s="2">
        <v>1.2</v>
      </c>
      <c r="C13" s="2">
        <f t="shared" si="0"/>
        <v>1.9320390859672263</v>
      </c>
      <c r="D13" s="2">
        <f t="shared" si="1"/>
        <v>-6.7621368008852922</v>
      </c>
      <c r="E13" s="2">
        <f t="shared" si="2"/>
        <v>0.5</v>
      </c>
    </row>
    <row r="14" spans="2:14">
      <c r="B14" s="2">
        <v>2.2000000000000002</v>
      </c>
      <c r="C14" s="2">
        <f t="shared" si="0"/>
        <v>1.8084964038195901</v>
      </c>
      <c r="D14" s="2">
        <f t="shared" si="1"/>
        <v>-6.3297374133685658</v>
      </c>
      <c r="E14" s="2">
        <f t="shared" si="2"/>
        <v>0.5</v>
      </c>
    </row>
    <row r="15" spans="2:14">
      <c r="B15" s="2">
        <v>3.2</v>
      </c>
      <c r="C15" s="2">
        <f t="shared" si="0"/>
        <v>0.94162585657241993</v>
      </c>
      <c r="D15" s="2">
        <f t="shared" si="1"/>
        <v>-3.2956904980034696</v>
      </c>
      <c r="E15" s="2">
        <f t="shared" si="2"/>
        <v>0.5</v>
      </c>
    </row>
    <row r="16" spans="2:14">
      <c r="B16" s="2">
        <v>4.2</v>
      </c>
      <c r="C16" s="2">
        <f t="shared" si="0"/>
        <v>0.12842422758641181</v>
      </c>
      <c r="D16" s="2">
        <f t="shared" si="1"/>
        <v>-0.44948479655244133</v>
      </c>
      <c r="E16" s="2">
        <f t="shared" si="2"/>
        <v>0.5</v>
      </c>
    </row>
    <row r="17" spans="2:10">
      <c r="B17" s="2">
        <v>5.2</v>
      </c>
      <c r="C17" s="2">
        <f t="shared" si="0"/>
        <v>0.11654534427984686</v>
      </c>
      <c r="D17" s="2">
        <f t="shared" si="1"/>
        <v>-0.40790870497946402</v>
      </c>
      <c r="E17" s="2">
        <f t="shared" si="2"/>
        <v>0.5</v>
      </c>
    </row>
    <row r="18" spans="2:10">
      <c r="B18" s="2">
        <v>6.2</v>
      </c>
      <c r="C18" s="2">
        <f t="shared" si="0"/>
        <v>0.91691059718250356</v>
      </c>
      <c r="D18" s="2">
        <f t="shared" si="1"/>
        <v>-3.2091870901387622</v>
      </c>
      <c r="E18" s="2">
        <f t="shared" si="2"/>
        <v>0.5</v>
      </c>
    </row>
    <row r="19" spans="2:10">
      <c r="B19" s="2">
        <v>7.2</v>
      </c>
      <c r="C19" s="2">
        <f t="shared" si="0"/>
        <v>1.7936678638491532</v>
      </c>
      <c r="D19" s="2">
        <f t="shared" si="1"/>
        <v>-6.2778375234720363</v>
      </c>
      <c r="E19" s="2">
        <f t="shared" si="2"/>
        <v>0.5</v>
      </c>
    </row>
    <row r="20" spans="2:10">
      <c r="B20" s="2">
        <v>8.1999999999999993</v>
      </c>
      <c r="C20" s="2">
        <f t="shared" si="0"/>
        <v>1.9407305566797732</v>
      </c>
      <c r="D20" s="2">
        <f t="shared" si="1"/>
        <v>-6.7925569483792065</v>
      </c>
      <c r="E20" s="2">
        <f t="shared" si="2"/>
        <v>0.5</v>
      </c>
    </row>
    <row r="21" spans="2:10">
      <c r="B21" s="2">
        <v>9.1999999999999993</v>
      </c>
      <c r="C21" s="2">
        <f t="shared" si="0"/>
        <v>1.2228899141002476</v>
      </c>
      <c r="D21" s="2">
        <f t="shared" si="1"/>
        <v>-4.2801146993508663</v>
      </c>
      <c r="E21" s="2">
        <f t="shared" si="2"/>
        <v>0.5</v>
      </c>
    </row>
    <row r="22" spans="2:10">
      <c r="B22" s="2">
        <v>10.199999999999999</v>
      </c>
      <c r="C22" s="2">
        <f t="shared" si="0"/>
        <v>0.30012531240645768</v>
      </c>
      <c r="D22" s="2">
        <f t="shared" si="1"/>
        <v>-1.0504385934226019</v>
      </c>
      <c r="E22" s="2">
        <f t="shared" si="2"/>
        <v>0.5</v>
      </c>
    </row>
    <row r="23" spans="2:10">
      <c r="B23" s="2">
        <v>11.2</v>
      </c>
      <c r="C23" s="2">
        <f t="shared" si="0"/>
        <v>2.08222708486826E-2</v>
      </c>
      <c r="D23" s="2">
        <f t="shared" si="1"/>
        <v>-7.2877947970389101E-2</v>
      </c>
      <c r="E23" s="2">
        <f t="shared" si="2"/>
        <v>0.5</v>
      </c>
    </row>
    <row r="24" spans="2:10">
      <c r="B24" s="2">
        <v>12.2</v>
      </c>
      <c r="C24" s="2">
        <f t="shared" si="0"/>
        <v>0.64177071776317129</v>
      </c>
      <c r="D24" s="2">
        <f t="shared" si="1"/>
        <v>-2.2461975121710998</v>
      </c>
      <c r="E24" s="2">
        <f t="shared" si="2"/>
        <v>0.5</v>
      </c>
    </row>
    <row r="25" spans="2:10">
      <c r="B25" s="2">
        <v>13.2</v>
      </c>
      <c r="C25" s="2">
        <f t="shared" si="0"/>
        <v>1.5920735147072231</v>
      </c>
      <c r="D25" s="2">
        <f t="shared" si="1"/>
        <v>-5.5722573014752808</v>
      </c>
      <c r="E25" s="2">
        <f t="shared" si="2"/>
        <v>0.5</v>
      </c>
    </row>
    <row r="26" spans="2:10">
      <c r="B26" s="2">
        <v>14.2</v>
      </c>
      <c r="C26" s="2">
        <f t="shared" si="0"/>
        <v>1.9980266527163617</v>
      </c>
      <c r="D26" s="2">
        <f t="shared" si="1"/>
        <v>-6.9930932845072657</v>
      </c>
      <c r="E26" s="2">
        <f t="shared" si="2"/>
        <v>0.5</v>
      </c>
    </row>
    <row r="27" spans="2:10">
      <c r="B27" s="2">
        <v>15.2</v>
      </c>
      <c r="C27" s="2">
        <f t="shared" si="0"/>
        <v>1.4863986888537997</v>
      </c>
      <c r="D27" s="2">
        <f t="shared" si="1"/>
        <v>-5.2023954109882986</v>
      </c>
      <c r="E27" s="2">
        <f t="shared" si="2"/>
        <v>0.5</v>
      </c>
    </row>
    <row r="28" spans="2:10">
      <c r="B28" s="2">
        <v>16.2</v>
      </c>
      <c r="C28" s="2">
        <f t="shared" si="0"/>
        <v>0.52757801360153378</v>
      </c>
      <c r="D28" s="2">
        <f t="shared" si="1"/>
        <v>-1.8465230476053682</v>
      </c>
      <c r="E28" s="2">
        <f t="shared" si="2"/>
        <v>0.5</v>
      </c>
    </row>
    <row r="29" spans="2:10">
      <c r="B29" s="2">
        <v>17.2</v>
      </c>
      <c r="C29" s="2">
        <f t="shared" si="0"/>
        <v>3.0999339584039109E-3</v>
      </c>
      <c r="D29" s="2">
        <f t="shared" si="1"/>
        <v>-1.0849768854413688E-2</v>
      </c>
      <c r="E29" s="2">
        <f t="shared" si="2"/>
        <v>0.5</v>
      </c>
      <c r="G29" s="6" t="s">
        <v>65</v>
      </c>
    </row>
    <row r="30" spans="2:10">
      <c r="B30" s="2">
        <v>18.2</v>
      </c>
      <c r="C30" s="2">
        <f t="shared" si="0"/>
        <v>0.39516717759371589</v>
      </c>
      <c r="D30" s="2">
        <f t="shared" si="1"/>
        <v>-1.3830851215780056</v>
      </c>
      <c r="E30" s="2">
        <f t="shared" si="2"/>
        <v>0.5</v>
      </c>
      <c r="G30" s="12" t="s">
        <v>64</v>
      </c>
      <c r="H30" s="12">
        <f>H3</f>
        <v>10</v>
      </c>
      <c r="I30" s="12" t="s">
        <v>17</v>
      </c>
      <c r="J30" s="13" t="str">
        <f>TRIM(G30)&amp;"   "&amp;IF(H30&gt;0,"+","")&amp;TRIM(H30)&amp;" "&amp;TRIM(I30)</f>
        <v>V+:   +10 V</v>
      </c>
    </row>
    <row r="31" spans="2:10">
      <c r="B31" s="2">
        <v>19.2</v>
      </c>
      <c r="C31" s="2">
        <f t="shared" si="0"/>
        <v>1.3433149288198953</v>
      </c>
      <c r="D31" s="2">
        <f t="shared" si="1"/>
        <v>-4.7016022508696338</v>
      </c>
      <c r="E31" s="2">
        <f t="shared" si="2"/>
        <v>0.5</v>
      </c>
      <c r="G31" s="12" t="s">
        <v>66</v>
      </c>
      <c r="H31" s="12">
        <f>H4</f>
        <v>0</v>
      </c>
      <c r="I31" s="12" t="s">
        <v>17</v>
      </c>
      <c r="J31" s="13" t="str">
        <f t="shared" ref="J31:J32" si="3">TRIM(G31)&amp;"   "&amp;IF(H31&gt;0,"+","")&amp;TRIM(H31)&amp;" "&amp;TRIM(I31)</f>
        <v>V-:   0 V</v>
      </c>
    </row>
    <row r="32" spans="2:10">
      <c r="B32" s="2">
        <v>20.2</v>
      </c>
      <c r="C32" s="2">
        <f t="shared" si="0"/>
        <v>1.9758205177669756</v>
      </c>
      <c r="D32" s="2">
        <f t="shared" si="1"/>
        <v>-6.9153718121844143</v>
      </c>
      <c r="E32" s="2">
        <f t="shared" si="2"/>
        <v>0.5</v>
      </c>
      <c r="G32" s="12" t="s">
        <v>29</v>
      </c>
      <c r="H32" s="12">
        <f>H9</f>
        <v>2.5</v>
      </c>
      <c r="I32" s="12" t="s">
        <v>17</v>
      </c>
      <c r="J32" s="13" t="str">
        <f t="shared" si="3"/>
        <v>Vin:   +2.5 V</v>
      </c>
    </row>
    <row r="33" spans="2:10">
      <c r="B33" s="2">
        <v>21.2</v>
      </c>
      <c r="C33" s="2">
        <f t="shared" si="0"/>
        <v>1.7111612229059823</v>
      </c>
      <c r="D33" s="2">
        <f t="shared" si="1"/>
        <v>-5.9890642801709379</v>
      </c>
      <c r="E33" s="2">
        <f t="shared" si="2"/>
        <v>0.5</v>
      </c>
      <c r="G33" s="12" t="s">
        <v>67</v>
      </c>
      <c r="H33" s="12">
        <f>C2</f>
        <v>1</v>
      </c>
      <c r="I33" s="12" t="s">
        <v>16</v>
      </c>
      <c r="J33" s="13" t="str">
        <f>TRIM(G33)&amp;"   "&amp;TRIM(H33)&amp;" "&amp;TRIM(I33)</f>
        <v>R1:   1 K</v>
      </c>
    </row>
    <row r="34" spans="2:10">
      <c r="B34" s="2">
        <v>22.2</v>
      </c>
      <c r="C34" s="2">
        <f t="shared" si="0"/>
        <v>0.79266357939324128</v>
      </c>
      <c r="D34" s="2">
        <f t="shared" si="1"/>
        <v>-2.7743225278763446</v>
      </c>
      <c r="E34" s="2">
        <f t="shared" si="2"/>
        <v>0.5</v>
      </c>
      <c r="G34" s="12" t="s">
        <v>68</v>
      </c>
      <c r="H34" s="12">
        <f>C3</f>
        <v>3.5</v>
      </c>
      <c r="I34" s="12" t="s">
        <v>16</v>
      </c>
      <c r="J34" s="13" t="str">
        <f>TRIM(G34)&amp;"   "&amp;TRIM(H34)&amp;" "&amp;TRIM(I34)</f>
        <v>RF:   3.5 K</v>
      </c>
    </row>
    <row r="35" spans="2:10">
      <c r="B35" s="2">
        <v>23.2</v>
      </c>
      <c r="C35" s="2">
        <f t="shared" si="0"/>
        <v>6.4790084805461112E-2</v>
      </c>
      <c r="D35" s="2">
        <f t="shared" si="1"/>
        <v>-0.22676529681911389</v>
      </c>
      <c r="E35" s="2">
        <f t="shared" si="2"/>
        <v>0.5</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115A3-7721-47C6-9D40-B91CF4C8E08A}">
  <sheetPr codeName="Sheet6"/>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44</v>
      </c>
    </row>
    <row r="2" spans="2:9" ht="15.75" thickBot="1">
      <c r="B2" s="2" t="s">
        <v>12</v>
      </c>
      <c r="C2" s="4">
        <v>1</v>
      </c>
      <c r="D2" s="2" t="s">
        <v>16</v>
      </c>
      <c r="G2" s="6" t="s">
        <v>36</v>
      </c>
    </row>
    <row r="3" spans="2:9" ht="15.75" thickBot="1">
      <c r="B3" s="2" t="s">
        <v>15</v>
      </c>
      <c r="C3" s="4">
        <v>2</v>
      </c>
      <c r="D3" s="2" t="s">
        <v>16</v>
      </c>
      <c r="G3" s="2" t="s">
        <v>9</v>
      </c>
      <c r="H3" s="4">
        <v>24</v>
      </c>
      <c r="I3" s="2" t="s">
        <v>18</v>
      </c>
    </row>
    <row r="4" spans="2:9" ht="15.75" thickBot="1">
      <c r="B4" s="2" t="s">
        <v>11</v>
      </c>
      <c r="C4" s="4">
        <v>2.5</v>
      </c>
      <c r="D4" s="2" t="s">
        <v>17</v>
      </c>
      <c r="G4" s="2" t="s">
        <v>10</v>
      </c>
      <c r="H4" s="5">
        <v>0</v>
      </c>
      <c r="I4" s="2" t="s">
        <v>19</v>
      </c>
    </row>
    <row r="5" spans="2:9" ht="15.75" thickBot="1">
      <c r="B5" s="2" t="s">
        <v>0</v>
      </c>
      <c r="C5" s="3">
        <f>(1+C3/C2)*C4</f>
        <v>7.5</v>
      </c>
      <c r="D5" s="2" t="s">
        <v>17</v>
      </c>
      <c r="G5" s="2" t="s">
        <v>31</v>
      </c>
      <c r="H5" s="4">
        <v>0</v>
      </c>
      <c r="I5" s="2" t="s">
        <v>32</v>
      </c>
    </row>
    <row r="6" spans="2:9" ht="15.75" thickBot="1">
      <c r="B6" s="2" t="s">
        <v>1</v>
      </c>
      <c r="C6" s="3">
        <f>-C3/C2</f>
        <v>-2</v>
      </c>
      <c r="D6" s="2" t="s">
        <v>39</v>
      </c>
    </row>
    <row r="7" spans="2:9" ht="15.75" thickBot="1">
      <c r="B7" s="2" t="s">
        <v>25</v>
      </c>
      <c r="C7" s="4">
        <v>0.1</v>
      </c>
      <c r="D7" s="2" t="s">
        <v>38</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 t="shared" ref="C10:C35" si="0">$C$7*SIN($B10)</f>
        <v>0</v>
      </c>
      <c r="D10" s="2">
        <f t="shared" ref="D10:D35" si="1">$C$6*C10+(1-$C$6)*$C$4</f>
        <v>7.5</v>
      </c>
      <c r="E10" s="2">
        <f t="shared" ref="E10:E35" si="2">IF(D10&gt;($H$3-$H$5),($H$3-$H$5),IF(D10&lt;($H$4+$H$5),($H$4+$H$5),D10))</f>
        <v>7.5</v>
      </c>
      <c r="G10" s="6" t="s">
        <v>34</v>
      </c>
      <c r="H10" s="3">
        <f>IF($C$6*H9+(1-$C$6)*$C$4&gt;($H$3-$H$5),($H$3-$H$5),IF($C$6*H9+(1-$C$6)*$C$4&lt;($H$4+$H$5),($H$4+$H$5),$C$6*H9+(1-$C$6)*$C$4))</f>
        <v>2.2999999999999998</v>
      </c>
      <c r="I10" s="2" t="s">
        <v>17</v>
      </c>
    </row>
    <row r="11" spans="2:9">
      <c r="B11" s="2">
        <v>0.1</v>
      </c>
      <c r="C11" s="2">
        <f t="shared" si="0"/>
        <v>9.9833416646828155E-3</v>
      </c>
      <c r="D11" s="2">
        <f t="shared" si="1"/>
        <v>7.4800333166706343</v>
      </c>
      <c r="E11" s="2">
        <f t="shared" si="2"/>
        <v>7.4800333166706343</v>
      </c>
    </row>
    <row r="12" spans="2:9">
      <c r="B12" s="2">
        <v>0.2</v>
      </c>
      <c r="C12" s="2">
        <f t="shared" si="0"/>
        <v>1.9866933079506124E-2</v>
      </c>
      <c r="D12" s="2">
        <f t="shared" si="1"/>
        <v>7.4602661338409879</v>
      </c>
      <c r="E12" s="2">
        <f t="shared" si="2"/>
        <v>7.4602661338409879</v>
      </c>
    </row>
    <row r="13" spans="2:9">
      <c r="B13" s="2">
        <v>1.2</v>
      </c>
      <c r="C13" s="2">
        <f t="shared" si="0"/>
        <v>9.3203908596722632E-2</v>
      </c>
      <c r="D13" s="2">
        <f t="shared" si="1"/>
        <v>7.3135921828065547</v>
      </c>
      <c r="E13" s="2">
        <f t="shared" si="2"/>
        <v>7.3135921828065547</v>
      </c>
    </row>
    <row r="14" spans="2:9">
      <c r="B14" s="2">
        <v>2.2000000000000002</v>
      </c>
      <c r="C14" s="2">
        <f t="shared" si="0"/>
        <v>8.084964038195902E-2</v>
      </c>
      <c r="D14" s="2">
        <f t="shared" si="1"/>
        <v>7.3383007192360816</v>
      </c>
      <c r="E14" s="2">
        <f t="shared" si="2"/>
        <v>7.3383007192360816</v>
      </c>
    </row>
    <row r="15" spans="2:9">
      <c r="B15" s="2">
        <v>3.2</v>
      </c>
      <c r="C15" s="2">
        <f t="shared" si="0"/>
        <v>-5.8374143427580086E-3</v>
      </c>
      <c r="D15" s="2">
        <f t="shared" si="1"/>
        <v>7.5116748286855159</v>
      </c>
      <c r="E15" s="2">
        <f t="shared" si="2"/>
        <v>7.5116748286855159</v>
      </c>
    </row>
    <row r="16" spans="2:9">
      <c r="B16" s="2">
        <v>4.2</v>
      </c>
      <c r="C16" s="2">
        <f t="shared" si="0"/>
        <v>-8.7157577241358822E-2</v>
      </c>
      <c r="D16" s="2">
        <f t="shared" si="1"/>
        <v>7.6743151544827173</v>
      </c>
      <c r="E16" s="2">
        <f t="shared" si="2"/>
        <v>7.6743151544827173</v>
      </c>
    </row>
    <row r="17" spans="2:10">
      <c r="B17" s="2">
        <v>5.2</v>
      </c>
      <c r="C17" s="2">
        <f t="shared" si="0"/>
        <v>-8.8345465572015322E-2</v>
      </c>
      <c r="D17" s="2">
        <f t="shared" si="1"/>
        <v>7.676690931144031</v>
      </c>
      <c r="E17" s="2">
        <f t="shared" si="2"/>
        <v>7.676690931144031</v>
      </c>
    </row>
    <row r="18" spans="2:10">
      <c r="B18" s="2">
        <v>6.2</v>
      </c>
      <c r="C18" s="2">
        <f t="shared" si="0"/>
        <v>-8.30894028174964E-3</v>
      </c>
      <c r="D18" s="2">
        <f t="shared" si="1"/>
        <v>7.5166178805634996</v>
      </c>
      <c r="E18" s="2">
        <f t="shared" si="2"/>
        <v>7.5166178805634996</v>
      </c>
    </row>
    <row r="19" spans="2:10">
      <c r="B19" s="2">
        <v>7.2</v>
      </c>
      <c r="C19" s="2">
        <f t="shared" si="0"/>
        <v>7.9366786384915317E-2</v>
      </c>
      <c r="D19" s="2">
        <f t="shared" si="1"/>
        <v>7.3412664272301695</v>
      </c>
      <c r="E19" s="2">
        <f t="shared" si="2"/>
        <v>7.3412664272301695</v>
      </c>
    </row>
    <row r="20" spans="2:10">
      <c r="B20" s="2">
        <v>8.1999999999999993</v>
      </c>
      <c r="C20" s="2">
        <f t="shared" si="0"/>
        <v>9.4073055667977315E-2</v>
      </c>
      <c r="D20" s="2">
        <f t="shared" si="1"/>
        <v>7.3118538886640456</v>
      </c>
      <c r="E20" s="2">
        <f t="shared" si="2"/>
        <v>7.3118538886640456</v>
      </c>
    </row>
    <row r="21" spans="2:10">
      <c r="B21" s="2">
        <v>9.1999999999999993</v>
      </c>
      <c r="C21" s="2">
        <f t="shared" si="0"/>
        <v>2.2288991410024765E-2</v>
      </c>
      <c r="D21" s="2">
        <f t="shared" si="1"/>
        <v>7.4554220171799503</v>
      </c>
      <c r="E21" s="2">
        <f t="shared" si="2"/>
        <v>7.4554220171799503</v>
      </c>
    </row>
    <row r="22" spans="2:10">
      <c r="B22" s="2">
        <v>10.199999999999999</v>
      </c>
      <c r="C22" s="2">
        <f t="shared" si="0"/>
        <v>-6.9987468759354229E-2</v>
      </c>
      <c r="D22" s="2">
        <f t="shared" si="1"/>
        <v>7.6399749375187085</v>
      </c>
      <c r="E22" s="2">
        <f t="shared" si="2"/>
        <v>7.6399749375187085</v>
      </c>
    </row>
    <row r="23" spans="2:10">
      <c r="B23" s="2">
        <v>11.2</v>
      </c>
      <c r="C23" s="2">
        <f t="shared" si="0"/>
        <v>-9.7917772915131748E-2</v>
      </c>
      <c r="D23" s="2">
        <f t="shared" si="1"/>
        <v>7.6958355458302634</v>
      </c>
      <c r="E23" s="2">
        <f t="shared" si="2"/>
        <v>7.6958355458302634</v>
      </c>
    </row>
    <row r="24" spans="2:10">
      <c r="B24" s="2">
        <v>12.2</v>
      </c>
      <c r="C24" s="2">
        <f t="shared" si="0"/>
        <v>-3.5822928223682875E-2</v>
      </c>
      <c r="D24" s="2">
        <f t="shared" si="1"/>
        <v>7.5716458564473657</v>
      </c>
      <c r="E24" s="2">
        <f t="shared" si="2"/>
        <v>7.5716458564473657</v>
      </c>
    </row>
    <row r="25" spans="2:10">
      <c r="B25" s="2">
        <v>13.2</v>
      </c>
      <c r="C25" s="2">
        <f t="shared" si="0"/>
        <v>5.9207351470722307E-2</v>
      </c>
      <c r="D25" s="2">
        <f t="shared" si="1"/>
        <v>7.3815852970585558</v>
      </c>
      <c r="E25" s="2">
        <f t="shared" si="2"/>
        <v>7.3815852970585558</v>
      </c>
    </row>
    <row r="26" spans="2:10">
      <c r="B26" s="2">
        <v>14.2</v>
      </c>
      <c r="C26" s="2">
        <f t="shared" si="0"/>
        <v>9.9802665271636171E-2</v>
      </c>
      <c r="D26" s="2">
        <f t="shared" si="1"/>
        <v>7.3003946694567272</v>
      </c>
      <c r="E26" s="2">
        <f t="shared" si="2"/>
        <v>7.3003946694567272</v>
      </c>
    </row>
    <row r="27" spans="2:10">
      <c r="B27" s="2">
        <v>15.2</v>
      </c>
      <c r="C27" s="2">
        <f t="shared" si="0"/>
        <v>4.8639868885379967E-2</v>
      </c>
      <c r="D27" s="2">
        <f t="shared" si="1"/>
        <v>7.4027202622292396</v>
      </c>
      <c r="E27" s="2">
        <f t="shared" si="2"/>
        <v>7.4027202622292396</v>
      </c>
    </row>
    <row r="28" spans="2:10">
      <c r="B28" s="2">
        <v>16.2</v>
      </c>
      <c r="C28" s="2">
        <f t="shared" si="0"/>
        <v>-4.7242198639846619E-2</v>
      </c>
      <c r="D28" s="2">
        <f t="shared" si="1"/>
        <v>7.5944843972796932</v>
      </c>
      <c r="E28" s="2">
        <f t="shared" si="2"/>
        <v>7.5944843972796932</v>
      </c>
    </row>
    <row r="29" spans="2:10">
      <c r="B29" s="2">
        <v>17.2</v>
      </c>
      <c r="C29" s="2">
        <f t="shared" si="0"/>
        <v>-9.9690006604159609E-2</v>
      </c>
      <c r="D29" s="2">
        <f t="shared" si="1"/>
        <v>7.6993800132083194</v>
      </c>
      <c r="E29" s="2">
        <f t="shared" si="2"/>
        <v>7.6993800132083194</v>
      </c>
      <c r="G29" s="6" t="s">
        <v>65</v>
      </c>
    </row>
    <row r="30" spans="2:10">
      <c r="B30" s="2">
        <v>18.2</v>
      </c>
      <c r="C30" s="2">
        <f t="shared" si="0"/>
        <v>-6.0483282240628412E-2</v>
      </c>
      <c r="D30" s="2">
        <f t="shared" si="1"/>
        <v>7.6209665644812565</v>
      </c>
      <c r="E30" s="2">
        <f t="shared" si="2"/>
        <v>7.6209665644812565</v>
      </c>
      <c r="G30" s="12" t="s">
        <v>64</v>
      </c>
      <c r="H30" s="12">
        <f>H3</f>
        <v>24</v>
      </c>
      <c r="I30" s="12" t="s">
        <v>17</v>
      </c>
      <c r="J30" s="13" t="str">
        <f>TRIM(G30)&amp;"   "&amp;IF(H30&gt;0,"+","")&amp;TRIM(H30)&amp;" "&amp;TRIM(I30)</f>
        <v>V+:   +24 V</v>
      </c>
    </row>
    <row r="31" spans="2:10">
      <c r="B31" s="2">
        <v>19.2</v>
      </c>
      <c r="C31" s="2">
        <f t="shared" si="0"/>
        <v>3.4331492881989542E-2</v>
      </c>
      <c r="D31" s="2">
        <f t="shared" si="1"/>
        <v>7.4313370142360213</v>
      </c>
      <c r="E31" s="2">
        <f t="shared" si="2"/>
        <v>7.4313370142360213</v>
      </c>
      <c r="G31" s="12" t="s">
        <v>66</v>
      </c>
      <c r="H31" s="12">
        <f>H4</f>
        <v>0</v>
      </c>
      <c r="I31" s="12" t="s">
        <v>17</v>
      </c>
      <c r="J31" s="13" t="str">
        <f t="shared" ref="J31:J33" si="3">TRIM(G31)&amp;"   "&amp;IF(H31&gt;0,"+","")&amp;TRIM(H31)&amp;" "&amp;TRIM(I31)</f>
        <v>V-:   0 V</v>
      </c>
    </row>
    <row r="32" spans="2:10">
      <c r="B32" s="2">
        <v>20.2</v>
      </c>
      <c r="C32" s="2">
        <f t="shared" si="0"/>
        <v>9.7582051776697556E-2</v>
      </c>
      <c r="D32" s="2">
        <f t="shared" si="1"/>
        <v>7.3048358964466047</v>
      </c>
      <c r="E32" s="2">
        <f t="shared" si="2"/>
        <v>7.3048358964466047</v>
      </c>
      <c r="G32" s="12" t="s">
        <v>29</v>
      </c>
      <c r="H32" s="12">
        <f>H9</f>
        <v>2.6</v>
      </c>
      <c r="I32" s="12" t="s">
        <v>17</v>
      </c>
      <c r="J32" s="13" t="str">
        <f t="shared" si="3"/>
        <v>Vin:   +2.6 V</v>
      </c>
    </row>
    <row r="33" spans="2:10">
      <c r="B33" s="2">
        <v>21.2</v>
      </c>
      <c r="C33" s="2">
        <f t="shared" si="0"/>
        <v>7.1116122290598244E-2</v>
      </c>
      <c r="D33" s="2">
        <f t="shared" si="1"/>
        <v>7.3577677554188039</v>
      </c>
      <c r="E33" s="2">
        <f t="shared" si="2"/>
        <v>7.3577677554188039</v>
      </c>
      <c r="G33" s="12" t="s">
        <v>69</v>
      </c>
      <c r="H33" s="12">
        <f>C4</f>
        <v>2.5</v>
      </c>
      <c r="I33" s="12" t="s">
        <v>17</v>
      </c>
      <c r="J33" s="13" t="str">
        <f t="shared" si="3"/>
        <v>Vb:   +2.5 V</v>
      </c>
    </row>
    <row r="34" spans="2:10">
      <c r="B34" s="2">
        <v>22.2</v>
      </c>
      <c r="C34" s="2">
        <f t="shared" si="0"/>
        <v>-2.0733642060675878E-2</v>
      </c>
      <c r="D34" s="2">
        <f t="shared" si="1"/>
        <v>7.5414672841213521</v>
      </c>
      <c r="E34" s="2">
        <f t="shared" si="2"/>
        <v>7.5414672841213521</v>
      </c>
      <c r="G34" s="12" t="s">
        <v>67</v>
      </c>
      <c r="H34" s="12">
        <f>C2</f>
        <v>1</v>
      </c>
      <c r="I34" s="12" t="s">
        <v>16</v>
      </c>
      <c r="J34" s="13" t="str">
        <f>TRIM(G34)&amp;"   "&amp;TRIM(H34)&amp;" "&amp;TRIM(I34)</f>
        <v>R1:   1 K</v>
      </c>
    </row>
    <row r="35" spans="2:10">
      <c r="B35" s="2">
        <v>23.2</v>
      </c>
      <c r="C35" s="2">
        <f t="shared" si="0"/>
        <v>-9.3520991519453894E-2</v>
      </c>
      <c r="D35" s="2">
        <f t="shared" si="1"/>
        <v>7.6870419830389078</v>
      </c>
      <c r="E35" s="2">
        <f t="shared" si="2"/>
        <v>7.6870419830389078</v>
      </c>
      <c r="G35" s="12" t="s">
        <v>68</v>
      </c>
      <c r="H35" s="12">
        <f>C3</f>
        <v>2</v>
      </c>
      <c r="I35" s="12" t="s">
        <v>16</v>
      </c>
      <c r="J35" s="13" t="str">
        <f>TRIM(G35)&amp;"   "&amp;TRIM(H35)&amp;" "&amp;TRIM(I35)</f>
        <v>RF:   2 K</v>
      </c>
    </row>
  </sheetData>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DCD9BF-0F6E-4A4D-9A74-74057F0FF1D7}">
  <dimension ref="B1:S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255</v>
      </c>
    </row>
    <row r="2" spans="2:9" ht="15.75" thickBot="1">
      <c r="B2" s="2" t="s">
        <v>12</v>
      </c>
      <c r="C2" s="4">
        <v>1</v>
      </c>
      <c r="D2" s="2" t="s">
        <v>16</v>
      </c>
      <c r="G2" s="6" t="s">
        <v>36</v>
      </c>
    </row>
    <row r="3" spans="2:9" ht="15.75" thickBot="1">
      <c r="B3" s="2" t="s">
        <v>15</v>
      </c>
      <c r="C3" s="4">
        <v>5</v>
      </c>
      <c r="D3" s="2" t="s">
        <v>16</v>
      </c>
      <c r="G3" s="2" t="s">
        <v>9</v>
      </c>
      <c r="H3" s="4">
        <v>5</v>
      </c>
      <c r="I3" s="2" t="s">
        <v>18</v>
      </c>
    </row>
    <row r="4" spans="2:9" ht="15.75" thickBot="1">
      <c r="B4" s="2" t="s">
        <v>11</v>
      </c>
      <c r="C4" s="3">
        <f>H3/2</f>
        <v>2.5</v>
      </c>
      <c r="D4" s="2" t="s">
        <v>248</v>
      </c>
      <c r="G4" s="2" t="s">
        <v>10</v>
      </c>
      <c r="H4" s="5">
        <v>0</v>
      </c>
      <c r="I4" s="2" t="s">
        <v>19</v>
      </c>
    </row>
    <row r="5" spans="2:9" ht="15.75" thickBot="1">
      <c r="B5" s="2" t="s">
        <v>0</v>
      </c>
      <c r="C5" s="3">
        <f>(1+C3/C2)*C4</f>
        <v>15</v>
      </c>
      <c r="D5" s="2" t="s">
        <v>17</v>
      </c>
      <c r="G5" s="2" t="s">
        <v>31</v>
      </c>
      <c r="H5" s="4">
        <v>0</v>
      </c>
      <c r="I5" s="2" t="s">
        <v>32</v>
      </c>
    </row>
    <row r="6" spans="2:9" ht="15.75" thickBot="1">
      <c r="B6" s="2" t="s">
        <v>1</v>
      </c>
      <c r="C6" s="3">
        <f>-C3/C2</f>
        <v>-5</v>
      </c>
      <c r="D6" s="2" t="s">
        <v>39</v>
      </c>
    </row>
    <row r="7" spans="2:9" ht="15.75" thickBot="1">
      <c r="B7" s="2" t="s">
        <v>25</v>
      </c>
      <c r="C7" s="4">
        <v>0.1</v>
      </c>
      <c r="D7" s="2" t="s">
        <v>254</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$C$7*SIN($B10)+$C$4</f>
        <v>2.5</v>
      </c>
      <c r="D10" s="2">
        <f t="shared" ref="D10:D35" si="0">$C$6*C10+(1-$C$6)*$C$4</f>
        <v>2.5</v>
      </c>
      <c r="E10" s="2">
        <f t="shared" ref="E10:E35" si="1">IF(D10&gt;($H$3-$H$5),($H$3-$H$5),IF(D10&lt;($H$4+$H$5),($H$4+$H$5),D10))</f>
        <v>2.5</v>
      </c>
      <c r="G10" s="6" t="s">
        <v>34</v>
      </c>
      <c r="H10" s="3">
        <f>IF($C$6*H9+(1-$C$6)*$C$4&gt;($H$3-$H$5),($H$3-$H$5),IF($C$6*H9+(1-$C$6)*$C$4&lt;($H$4+$H$5),($H$4+$H$5),$C$6*H9+(1-$C$6)*$C$4))</f>
        <v>2</v>
      </c>
      <c r="I10" s="2" t="s">
        <v>17</v>
      </c>
    </row>
    <row r="11" spans="2:9">
      <c r="B11" s="2">
        <v>0.1</v>
      </c>
      <c r="C11" s="2">
        <f t="shared" ref="C11:C35" si="2">$C$7*SIN($B11)+$C$4</f>
        <v>2.5099833416646828</v>
      </c>
      <c r="D11" s="2">
        <f t="shared" si="0"/>
        <v>2.4500832916765862</v>
      </c>
      <c r="E11" s="2">
        <f t="shared" si="1"/>
        <v>2.4500832916765862</v>
      </c>
    </row>
    <row r="12" spans="2:9">
      <c r="B12" s="2">
        <v>0.2</v>
      </c>
      <c r="C12" s="2">
        <f t="shared" si="2"/>
        <v>2.519866933079506</v>
      </c>
      <c r="D12" s="2">
        <f t="shared" si="0"/>
        <v>2.4006653346024702</v>
      </c>
      <c r="E12" s="2">
        <f t="shared" si="1"/>
        <v>2.4006653346024702</v>
      </c>
    </row>
    <row r="13" spans="2:9">
      <c r="B13" s="2">
        <v>1.2</v>
      </c>
      <c r="C13" s="2">
        <f t="shared" si="2"/>
        <v>2.5932039085967227</v>
      </c>
      <c r="D13" s="2">
        <f t="shared" si="0"/>
        <v>2.0339804570163871</v>
      </c>
      <c r="E13" s="2">
        <f t="shared" si="1"/>
        <v>2.0339804570163871</v>
      </c>
    </row>
    <row r="14" spans="2:9">
      <c r="B14" s="2">
        <v>2.2000000000000002</v>
      </c>
      <c r="C14" s="2">
        <f t="shared" si="2"/>
        <v>2.5808496403819592</v>
      </c>
      <c r="D14" s="2">
        <f t="shared" si="0"/>
        <v>2.0957517980902036</v>
      </c>
      <c r="E14" s="2">
        <f t="shared" si="1"/>
        <v>2.0957517980902036</v>
      </c>
    </row>
    <row r="15" spans="2:9">
      <c r="B15" s="2">
        <v>3.2</v>
      </c>
      <c r="C15" s="2">
        <f t="shared" si="2"/>
        <v>2.494162585657242</v>
      </c>
      <c r="D15" s="2">
        <f t="shared" si="0"/>
        <v>2.529187071713789</v>
      </c>
      <c r="E15" s="2">
        <f t="shared" si="1"/>
        <v>2.529187071713789</v>
      </c>
    </row>
    <row r="16" spans="2:9">
      <c r="B16" s="2">
        <v>4.2</v>
      </c>
      <c r="C16" s="2">
        <f t="shared" si="2"/>
        <v>2.4128424227586414</v>
      </c>
      <c r="D16" s="2">
        <f t="shared" si="0"/>
        <v>2.9357878862067928</v>
      </c>
      <c r="E16" s="2">
        <f t="shared" si="1"/>
        <v>2.9357878862067928</v>
      </c>
    </row>
    <row r="17" spans="2:19">
      <c r="B17" s="2">
        <v>5.2</v>
      </c>
      <c r="C17" s="2">
        <f t="shared" si="2"/>
        <v>2.4116545344279845</v>
      </c>
      <c r="D17" s="2">
        <f t="shared" si="0"/>
        <v>2.9417273278600771</v>
      </c>
      <c r="E17" s="2">
        <f t="shared" si="1"/>
        <v>2.9417273278600771</v>
      </c>
    </row>
    <row r="18" spans="2:19">
      <c r="B18" s="2">
        <v>6.2</v>
      </c>
      <c r="C18" s="2">
        <f t="shared" si="2"/>
        <v>2.4916910597182502</v>
      </c>
      <c r="D18" s="2">
        <f t="shared" si="0"/>
        <v>2.5415447014087498</v>
      </c>
      <c r="E18" s="2">
        <f t="shared" si="1"/>
        <v>2.5415447014087498</v>
      </c>
    </row>
    <row r="19" spans="2:19">
      <c r="B19" s="2">
        <v>7.2</v>
      </c>
      <c r="C19" s="2">
        <f t="shared" si="2"/>
        <v>2.5793667863849152</v>
      </c>
      <c r="D19" s="2">
        <f t="shared" si="0"/>
        <v>2.1031660680754243</v>
      </c>
      <c r="E19" s="2">
        <f t="shared" si="1"/>
        <v>2.1031660680754243</v>
      </c>
    </row>
    <row r="20" spans="2:19">
      <c r="B20" s="2">
        <v>8.1999999999999993</v>
      </c>
      <c r="C20" s="2">
        <f t="shared" si="2"/>
        <v>2.5940730556679772</v>
      </c>
      <c r="D20" s="2">
        <f t="shared" si="0"/>
        <v>2.0296347216601145</v>
      </c>
      <c r="E20" s="2">
        <f t="shared" si="1"/>
        <v>2.0296347216601145</v>
      </c>
    </row>
    <row r="21" spans="2:19">
      <c r="B21" s="2">
        <v>9.1999999999999993</v>
      </c>
      <c r="C21" s="2">
        <f t="shared" si="2"/>
        <v>2.5222889914100248</v>
      </c>
      <c r="D21" s="2">
        <f t="shared" si="0"/>
        <v>2.388555042949875</v>
      </c>
      <c r="E21" s="2">
        <f t="shared" si="1"/>
        <v>2.388555042949875</v>
      </c>
    </row>
    <row r="22" spans="2:19">
      <c r="B22" s="2">
        <v>10.199999999999999</v>
      </c>
      <c r="C22" s="2">
        <f t="shared" si="2"/>
        <v>2.4300125312406458</v>
      </c>
      <c r="D22" s="2">
        <f t="shared" si="0"/>
        <v>2.8499373437967712</v>
      </c>
      <c r="E22" s="2">
        <f t="shared" si="1"/>
        <v>2.8499373437967712</v>
      </c>
    </row>
    <row r="23" spans="2:19">
      <c r="B23" s="2">
        <v>11.2</v>
      </c>
      <c r="C23" s="2">
        <f t="shared" si="2"/>
        <v>2.4020822270848683</v>
      </c>
      <c r="D23" s="2">
        <f t="shared" si="0"/>
        <v>2.9895888645756585</v>
      </c>
      <c r="E23" s="2">
        <f t="shared" si="1"/>
        <v>2.9895888645756585</v>
      </c>
    </row>
    <row r="24" spans="2:19">
      <c r="B24" s="2">
        <v>12.2</v>
      </c>
      <c r="C24" s="2">
        <f t="shared" si="2"/>
        <v>2.4641770717763172</v>
      </c>
      <c r="D24" s="2">
        <f t="shared" si="0"/>
        <v>2.6791146411184137</v>
      </c>
      <c r="E24" s="2">
        <f t="shared" si="1"/>
        <v>2.6791146411184137</v>
      </c>
    </row>
    <row r="25" spans="2:19">
      <c r="B25" s="2">
        <v>13.2</v>
      </c>
      <c r="C25" s="2">
        <f t="shared" si="2"/>
        <v>2.5592073514707221</v>
      </c>
      <c r="D25" s="2">
        <f t="shared" si="0"/>
        <v>2.20396324264639</v>
      </c>
      <c r="E25" s="2">
        <f t="shared" si="1"/>
        <v>2.20396324264639</v>
      </c>
    </row>
    <row r="26" spans="2:19">
      <c r="B26" s="2">
        <v>14.2</v>
      </c>
      <c r="C26" s="2">
        <f t="shared" si="2"/>
        <v>2.5998026652716364</v>
      </c>
      <c r="D26" s="2">
        <f t="shared" si="0"/>
        <v>2.0009866736418189</v>
      </c>
      <c r="E26" s="2">
        <f t="shared" si="1"/>
        <v>2.0009866736418189</v>
      </c>
      <c r="S26" s="6" t="s">
        <v>258</v>
      </c>
    </row>
    <row r="27" spans="2:19">
      <c r="B27" s="2">
        <v>15.2</v>
      </c>
      <c r="C27" s="2">
        <f t="shared" si="2"/>
        <v>2.5486398688853802</v>
      </c>
      <c r="D27" s="2">
        <f t="shared" si="0"/>
        <v>2.2568006555730982</v>
      </c>
      <c r="E27" s="2">
        <f t="shared" si="1"/>
        <v>2.2568006555730982</v>
      </c>
    </row>
    <row r="28" spans="2:19">
      <c r="B28" s="2">
        <v>16.2</v>
      </c>
      <c r="C28" s="2">
        <f t="shared" si="2"/>
        <v>2.4527578013601534</v>
      </c>
      <c r="D28" s="2">
        <f t="shared" si="0"/>
        <v>2.7362109931992329</v>
      </c>
      <c r="E28" s="2">
        <f t="shared" si="1"/>
        <v>2.7362109931992329</v>
      </c>
      <c r="N28" s="2" t="s">
        <v>249</v>
      </c>
    </row>
    <row r="29" spans="2:19">
      <c r="B29" s="2">
        <v>17.2</v>
      </c>
      <c r="C29" s="2">
        <f t="shared" si="2"/>
        <v>2.4003099933958403</v>
      </c>
      <c r="D29" s="2">
        <f t="shared" si="0"/>
        <v>2.9984500330207986</v>
      </c>
      <c r="E29" s="2">
        <f t="shared" si="1"/>
        <v>2.9984500330207986</v>
      </c>
      <c r="G29" s="6" t="s">
        <v>65</v>
      </c>
    </row>
    <row r="30" spans="2:19">
      <c r="B30" s="2">
        <v>18.2</v>
      </c>
      <c r="C30" s="2">
        <f t="shared" si="2"/>
        <v>2.4395167177593717</v>
      </c>
      <c r="D30" s="2">
        <f t="shared" si="0"/>
        <v>2.8024164112031418</v>
      </c>
      <c r="E30" s="2">
        <f t="shared" si="1"/>
        <v>2.8024164112031418</v>
      </c>
      <c r="G30" s="12" t="s">
        <v>64</v>
      </c>
      <c r="H30" s="12">
        <f>H3</f>
        <v>5</v>
      </c>
      <c r="I30" s="12" t="s">
        <v>17</v>
      </c>
      <c r="J30" s="13" t="str">
        <f>TRIM(G30)&amp;"   "&amp;IF(H30&gt;0,"+","")&amp;TRIM(H30)&amp;" "&amp;TRIM(I30)</f>
        <v>V+:   +5 V</v>
      </c>
      <c r="N30" s="6" t="s">
        <v>250</v>
      </c>
    </row>
    <row r="31" spans="2:19">
      <c r="B31" s="2">
        <v>19.2</v>
      </c>
      <c r="C31" s="2">
        <f t="shared" si="2"/>
        <v>2.5343314928819893</v>
      </c>
      <c r="D31" s="2">
        <f t="shared" si="0"/>
        <v>2.3283425355900533</v>
      </c>
      <c r="E31" s="2">
        <f t="shared" si="1"/>
        <v>2.3283425355900533</v>
      </c>
      <c r="G31" s="12" t="s">
        <v>66</v>
      </c>
      <c r="H31" s="12">
        <f>H4</f>
        <v>0</v>
      </c>
      <c r="I31" s="12" t="s">
        <v>17</v>
      </c>
      <c r="J31" s="13" t="str">
        <f t="shared" ref="J31:J33" si="3">TRIM(G31)&amp;"   "&amp;IF(H31&gt;0,"+","")&amp;TRIM(H31)&amp;" "&amp;TRIM(I31)</f>
        <v>V-:   0 V</v>
      </c>
      <c r="N31" s="2" t="s">
        <v>257</v>
      </c>
    </row>
    <row r="32" spans="2:19">
      <c r="B32" s="2">
        <v>20.2</v>
      </c>
      <c r="C32" s="2">
        <f t="shared" si="2"/>
        <v>2.5975820517766977</v>
      </c>
      <c r="D32" s="2">
        <f t="shared" si="0"/>
        <v>2.0120897411165117</v>
      </c>
      <c r="E32" s="2">
        <f t="shared" si="1"/>
        <v>2.0120897411165117</v>
      </c>
      <c r="G32" s="12" t="s">
        <v>29</v>
      </c>
      <c r="H32" s="12">
        <f>H9</f>
        <v>2.6</v>
      </c>
      <c r="I32" s="12" t="s">
        <v>17</v>
      </c>
      <c r="J32" s="13" t="str">
        <f t="shared" si="3"/>
        <v>Vin:   +2.6 V</v>
      </c>
      <c r="N32" s="2" t="s">
        <v>252</v>
      </c>
    </row>
    <row r="33" spans="2:14">
      <c r="B33" s="2">
        <v>21.2</v>
      </c>
      <c r="C33" s="2">
        <f t="shared" si="2"/>
        <v>2.571116122290598</v>
      </c>
      <c r="D33" s="2">
        <f t="shared" si="0"/>
        <v>2.1444193885470106</v>
      </c>
      <c r="E33" s="2">
        <f t="shared" si="1"/>
        <v>2.1444193885470106</v>
      </c>
      <c r="G33" s="12" t="s">
        <v>69</v>
      </c>
      <c r="H33" s="12">
        <f>C4</f>
        <v>2.5</v>
      </c>
      <c r="I33" s="12" t="s">
        <v>17</v>
      </c>
      <c r="J33" s="13" t="str">
        <f t="shared" si="3"/>
        <v>Vb:   +2.5 V</v>
      </c>
      <c r="N33" s="2" t="s">
        <v>253</v>
      </c>
    </row>
    <row r="34" spans="2:14">
      <c r="B34" s="2">
        <v>22.2</v>
      </c>
      <c r="C34" s="2">
        <f t="shared" si="2"/>
        <v>2.4792663579393239</v>
      </c>
      <c r="D34" s="2">
        <f t="shared" si="0"/>
        <v>2.6036682103033808</v>
      </c>
      <c r="E34" s="2">
        <f t="shared" si="1"/>
        <v>2.6036682103033808</v>
      </c>
      <c r="G34" s="12" t="s">
        <v>67</v>
      </c>
      <c r="H34" s="12">
        <f>C2</f>
        <v>1</v>
      </c>
      <c r="I34" s="12" t="s">
        <v>16</v>
      </c>
      <c r="J34" s="13" t="str">
        <f>TRIM(G34)&amp;"   "&amp;TRIM(H34)&amp;" "&amp;TRIM(I34)</f>
        <v>R1:   1 K</v>
      </c>
    </row>
    <row r="35" spans="2:14">
      <c r="B35" s="2">
        <v>23.2</v>
      </c>
      <c r="C35" s="2">
        <f t="shared" si="2"/>
        <v>2.4064790084805461</v>
      </c>
      <c r="D35" s="2">
        <f t="shared" si="0"/>
        <v>2.9676049575972705</v>
      </c>
      <c r="E35" s="2">
        <f t="shared" si="1"/>
        <v>2.9676049575972705</v>
      </c>
      <c r="G35" s="12" t="s">
        <v>68</v>
      </c>
      <c r="H35" s="12">
        <f>C3</f>
        <v>5</v>
      </c>
      <c r="I35" s="12" t="s">
        <v>16</v>
      </c>
      <c r="J35" s="13" t="str">
        <f>TRIM(G35)&amp;"   "&amp;TRIM(H35)&amp;" "&amp;TRIM(I35)</f>
        <v>RF:   5 K</v>
      </c>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4527CD-D223-4E26-840B-6CB894B1F131}">
  <sheetPr codeName="Sheet7"/>
  <dimension ref="B1:L35"/>
  <sheetViews>
    <sheetView zoomScale="85" zoomScaleNormal="85" workbookViewId="0">
      <selection activeCell="D10" sqref="D10"/>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44</v>
      </c>
    </row>
    <row r="2" spans="2:12" ht="15.75" thickBot="1">
      <c r="B2" s="2" t="s">
        <v>12</v>
      </c>
      <c r="C2" s="3">
        <v>1</v>
      </c>
      <c r="D2" s="2" t="s">
        <v>16</v>
      </c>
      <c r="G2" s="6" t="s">
        <v>63</v>
      </c>
      <c r="J2" s="6" t="s">
        <v>36</v>
      </c>
    </row>
    <row r="3" spans="2:12" ht="15.75" thickBot="1">
      <c r="B3" s="2" t="s">
        <v>15</v>
      </c>
      <c r="C3" s="3">
        <f>-C6*C2</f>
        <v>2.5</v>
      </c>
      <c r="D3" s="2" t="s">
        <v>16</v>
      </c>
      <c r="G3" s="2" t="s">
        <v>24</v>
      </c>
      <c r="H3" s="4">
        <v>-2</v>
      </c>
      <c r="I3" s="2" t="s">
        <v>17</v>
      </c>
      <c r="J3" s="2" t="s">
        <v>9</v>
      </c>
      <c r="K3" s="4">
        <v>12</v>
      </c>
      <c r="L3" s="2" t="s">
        <v>18</v>
      </c>
    </row>
    <row r="4" spans="2:12" ht="15.75" thickBot="1">
      <c r="B4" s="2" t="s">
        <v>11</v>
      </c>
      <c r="C4" s="3">
        <f>C5/(1-C6)</f>
        <v>1.7142857142857142</v>
      </c>
      <c r="D4" s="2" t="s">
        <v>17</v>
      </c>
      <c r="G4" s="2" t="s">
        <v>25</v>
      </c>
      <c r="H4" s="4">
        <v>0</v>
      </c>
      <c r="I4" s="2" t="s">
        <v>17</v>
      </c>
      <c r="J4" s="2" t="s">
        <v>10</v>
      </c>
      <c r="K4" s="5">
        <v>-12</v>
      </c>
      <c r="L4" s="2" t="s">
        <v>19</v>
      </c>
    </row>
    <row r="5" spans="2:12" ht="15.75" thickBot="1">
      <c r="B5" s="2" t="s">
        <v>0</v>
      </c>
      <c r="C5" s="3">
        <f>H6-C6*H4</f>
        <v>6</v>
      </c>
      <c r="D5" s="2" t="s">
        <v>17</v>
      </c>
      <c r="G5" s="2" t="s">
        <v>74</v>
      </c>
      <c r="H5" s="4">
        <v>11</v>
      </c>
      <c r="I5" s="2" t="s">
        <v>17</v>
      </c>
      <c r="J5" s="2" t="s">
        <v>31</v>
      </c>
      <c r="K5" s="4">
        <v>0</v>
      </c>
      <c r="L5" s="2" t="s">
        <v>32</v>
      </c>
    </row>
    <row r="6" spans="2:12" ht="15.75" thickBot="1">
      <c r="B6" s="2" t="s">
        <v>1</v>
      </c>
      <c r="C6" s="3">
        <f>(H6-H5)/(H4-H3)</f>
        <v>-2.5</v>
      </c>
      <c r="D6" s="2" t="s">
        <v>39</v>
      </c>
      <c r="G6" s="2" t="s">
        <v>75</v>
      </c>
      <c r="H6" s="4">
        <v>6</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-1</v>
      </c>
      <c r="D10" s="2">
        <f>$C$6*C10+(1-$C$6)*$C$4</f>
        <v>8.5</v>
      </c>
      <c r="E10" s="2">
        <f t="shared" ref="E10:E35" si="0">IF(D10&gt;($K$3-$K$5),($K$3-$K$5),IF(D10&lt;($K$4+$K$5),($K$4+$K$5),D10))</f>
        <v>8.5</v>
      </c>
      <c r="J10" s="6" t="s">
        <v>29</v>
      </c>
      <c r="K10" s="4">
        <v>0</v>
      </c>
      <c r="L10" s="2" t="s">
        <v>17</v>
      </c>
    </row>
    <row r="11" spans="2:12">
      <c r="B11" s="2">
        <v>0.1</v>
      </c>
      <c r="C11" s="2">
        <f t="shared" ref="C11:C35" si="1">AVERAGE($H$3:$H$4)+SIN($B11)*($H$4-$H$3)/2</f>
        <v>-0.90016658335317179</v>
      </c>
      <c r="D11" s="2">
        <f t="shared" ref="D11:D35" si="2">$C$6*C11+(1-$C$6)*$C$4</f>
        <v>8.2504164583829294</v>
      </c>
      <c r="E11" s="2">
        <f t="shared" si="0"/>
        <v>8.2504164583829294</v>
      </c>
      <c r="J11" s="6" t="s">
        <v>34</v>
      </c>
      <c r="K11" s="3">
        <f>IF($C$6*K10+(1-$C$6)*$C$4&gt;($K$3-$K$5),($K$3-$K$5),IF($C$6*K10+(1-$C$6)*$C$4&lt;($K$4+$K$5),($K$4+$K$5),$C$6*K10+(1-$C$6)*$C$4))</f>
        <v>6</v>
      </c>
      <c r="L11" s="2" t="s">
        <v>17</v>
      </c>
    </row>
    <row r="12" spans="2:12">
      <c r="B12" s="2">
        <v>0.2</v>
      </c>
      <c r="C12" s="2">
        <f t="shared" si="1"/>
        <v>-0.80133066920493878</v>
      </c>
      <c r="D12" s="2">
        <f t="shared" si="2"/>
        <v>8.0033266730123476</v>
      </c>
      <c r="E12" s="2">
        <f t="shared" si="0"/>
        <v>8.0033266730123476</v>
      </c>
    </row>
    <row r="13" spans="2:12">
      <c r="B13" s="2">
        <v>1.2</v>
      </c>
      <c r="C13" s="2">
        <f t="shared" si="1"/>
        <v>-6.7960914032773712E-2</v>
      </c>
      <c r="D13" s="2">
        <f t="shared" si="2"/>
        <v>6.1699022850819345</v>
      </c>
      <c r="E13" s="2">
        <f t="shared" si="0"/>
        <v>6.1699022850819345</v>
      </c>
    </row>
    <row r="14" spans="2:12">
      <c r="B14" s="2">
        <v>2.2000000000000002</v>
      </c>
      <c r="C14" s="2">
        <f t="shared" si="1"/>
        <v>-0.19150359618040991</v>
      </c>
      <c r="D14" s="2">
        <f t="shared" si="2"/>
        <v>6.4787589904510252</v>
      </c>
      <c r="E14" s="2">
        <f t="shared" si="0"/>
        <v>6.4787589904510252</v>
      </c>
    </row>
    <row r="15" spans="2:12">
      <c r="B15" s="2">
        <v>3.2</v>
      </c>
      <c r="C15" s="2">
        <f t="shared" si="1"/>
        <v>-1.0583741434275802</v>
      </c>
      <c r="D15" s="2">
        <f t="shared" si="2"/>
        <v>8.6459353585689502</v>
      </c>
      <c r="E15" s="2">
        <f t="shared" si="0"/>
        <v>8.6459353585689502</v>
      </c>
    </row>
    <row r="16" spans="2:12">
      <c r="B16" s="2">
        <v>4.2</v>
      </c>
      <c r="C16" s="2">
        <f t="shared" si="1"/>
        <v>-1.8715757724135882</v>
      </c>
      <c r="D16" s="2">
        <f t="shared" si="2"/>
        <v>10.678939431033971</v>
      </c>
      <c r="E16" s="2">
        <f t="shared" si="0"/>
        <v>10.678939431033971</v>
      </c>
    </row>
    <row r="17" spans="2:5">
      <c r="B17" s="2">
        <v>5.2</v>
      </c>
      <c r="C17" s="2">
        <f t="shared" si="1"/>
        <v>-1.8834546557201532</v>
      </c>
      <c r="D17" s="2">
        <f t="shared" si="2"/>
        <v>10.708636639300384</v>
      </c>
      <c r="E17" s="2">
        <f t="shared" si="0"/>
        <v>10.708636639300384</v>
      </c>
    </row>
    <row r="18" spans="2:5">
      <c r="B18" s="2">
        <v>6.2</v>
      </c>
      <c r="C18" s="2">
        <f t="shared" si="1"/>
        <v>-1.0830894028174964</v>
      </c>
      <c r="D18" s="2">
        <f t="shared" si="2"/>
        <v>8.7077235070437418</v>
      </c>
      <c r="E18" s="2">
        <f t="shared" si="0"/>
        <v>8.7077235070437418</v>
      </c>
    </row>
    <row r="19" spans="2:5">
      <c r="B19" s="2">
        <v>7.2</v>
      </c>
      <c r="C19" s="2">
        <f t="shared" si="1"/>
        <v>-0.20633213615084689</v>
      </c>
      <c r="D19" s="2">
        <f t="shared" si="2"/>
        <v>6.5158303403771169</v>
      </c>
      <c r="E19" s="2">
        <f t="shared" si="0"/>
        <v>6.5158303403771169</v>
      </c>
    </row>
    <row r="20" spans="2:5">
      <c r="B20" s="2">
        <v>8.1999999999999993</v>
      </c>
      <c r="C20" s="2">
        <f t="shared" si="1"/>
        <v>-5.9269443320226878E-2</v>
      </c>
      <c r="D20" s="2">
        <f t="shared" si="2"/>
        <v>6.1481736083005671</v>
      </c>
      <c r="E20" s="2">
        <f t="shared" si="0"/>
        <v>6.1481736083005671</v>
      </c>
    </row>
    <row r="21" spans="2:5">
      <c r="B21" s="2">
        <v>9.1999999999999993</v>
      </c>
      <c r="C21" s="2">
        <f t="shared" si="1"/>
        <v>-0.77711008589975239</v>
      </c>
      <c r="D21" s="2">
        <f t="shared" si="2"/>
        <v>7.9427752147493811</v>
      </c>
      <c r="E21" s="2">
        <f t="shared" si="0"/>
        <v>7.9427752147493811</v>
      </c>
    </row>
    <row r="22" spans="2:5">
      <c r="B22" s="2">
        <v>10.199999999999999</v>
      </c>
      <c r="C22" s="2">
        <f t="shared" si="1"/>
        <v>-1.6998746875935424</v>
      </c>
      <c r="D22" s="2">
        <f t="shared" si="2"/>
        <v>10.249686718983856</v>
      </c>
      <c r="E22" s="2">
        <f t="shared" si="0"/>
        <v>10.249686718983856</v>
      </c>
    </row>
    <row r="23" spans="2:5">
      <c r="B23" s="2">
        <v>11.2</v>
      </c>
      <c r="C23" s="2">
        <f t="shared" si="1"/>
        <v>-1.9791777291513175</v>
      </c>
      <c r="D23" s="2">
        <f t="shared" si="2"/>
        <v>10.947944322878293</v>
      </c>
      <c r="E23" s="2">
        <f t="shared" si="0"/>
        <v>10.947944322878293</v>
      </c>
    </row>
    <row r="24" spans="2:5">
      <c r="B24" s="2">
        <v>12.2</v>
      </c>
      <c r="C24" s="2">
        <f t="shared" si="1"/>
        <v>-1.3582292822368287</v>
      </c>
      <c r="D24" s="2">
        <f t="shared" si="2"/>
        <v>9.395573205592072</v>
      </c>
      <c r="E24" s="2">
        <f t="shared" si="0"/>
        <v>9.395573205592072</v>
      </c>
    </row>
    <row r="25" spans="2:5">
      <c r="B25" s="2">
        <v>13.2</v>
      </c>
      <c r="C25" s="2">
        <f t="shared" si="1"/>
        <v>-0.40792648529277697</v>
      </c>
      <c r="D25" s="2">
        <f t="shared" si="2"/>
        <v>7.0198162132319428</v>
      </c>
      <c r="E25" s="2">
        <f t="shared" si="0"/>
        <v>7.0198162132319428</v>
      </c>
    </row>
    <row r="26" spans="2:5">
      <c r="B26" s="2">
        <v>14.2</v>
      </c>
      <c r="C26" s="2">
        <f t="shared" si="1"/>
        <v>-1.9733472836382937E-3</v>
      </c>
      <c r="D26" s="2">
        <f t="shared" si="2"/>
        <v>6.0049333682090955</v>
      </c>
      <c r="E26" s="2">
        <f t="shared" si="0"/>
        <v>6.0049333682090955</v>
      </c>
    </row>
    <row r="27" spans="2:5">
      <c r="B27" s="2">
        <v>15.2</v>
      </c>
      <c r="C27" s="2">
        <f t="shared" si="1"/>
        <v>-0.51360131114620033</v>
      </c>
      <c r="D27" s="2">
        <f t="shared" si="2"/>
        <v>7.2840032778655006</v>
      </c>
      <c r="E27" s="2">
        <f t="shared" si="0"/>
        <v>7.2840032778655006</v>
      </c>
    </row>
    <row r="28" spans="2:5">
      <c r="B28" s="2">
        <v>16.2</v>
      </c>
      <c r="C28" s="2">
        <f t="shared" si="1"/>
        <v>-1.4724219863984662</v>
      </c>
      <c r="D28" s="2">
        <f t="shared" si="2"/>
        <v>9.6810549659961644</v>
      </c>
      <c r="E28" s="2">
        <f t="shared" si="0"/>
        <v>9.6810549659961644</v>
      </c>
    </row>
    <row r="29" spans="2:5">
      <c r="B29" s="2">
        <v>17.2</v>
      </c>
      <c r="C29" s="2">
        <f t="shared" si="1"/>
        <v>-1.9969000660415961</v>
      </c>
      <c r="D29" s="2">
        <f t="shared" si="2"/>
        <v>10.992250165103989</v>
      </c>
      <c r="E29" s="2">
        <f t="shared" si="0"/>
        <v>10.992250165103989</v>
      </c>
    </row>
    <row r="30" spans="2:5">
      <c r="B30" s="2">
        <v>18.2</v>
      </c>
      <c r="C30" s="2">
        <f t="shared" si="1"/>
        <v>-1.604832822406284</v>
      </c>
      <c r="D30" s="2">
        <f t="shared" si="2"/>
        <v>10.012082056015711</v>
      </c>
      <c r="E30" s="2">
        <f t="shared" si="0"/>
        <v>10.012082056015711</v>
      </c>
    </row>
    <row r="31" spans="2:5">
      <c r="B31" s="2">
        <v>19.2</v>
      </c>
      <c r="C31" s="2">
        <f t="shared" si="1"/>
        <v>-0.65668507118010466</v>
      </c>
      <c r="D31" s="2">
        <f t="shared" si="2"/>
        <v>7.6417126779502613</v>
      </c>
      <c r="E31" s="2">
        <f t="shared" si="0"/>
        <v>7.6417126779502613</v>
      </c>
    </row>
    <row r="32" spans="2:5">
      <c r="B32" s="2">
        <v>20.2</v>
      </c>
      <c r="C32" s="2">
        <f t="shared" si="1"/>
        <v>-2.4179482233024463E-2</v>
      </c>
      <c r="D32" s="2">
        <f t="shared" si="2"/>
        <v>6.0604487055825613</v>
      </c>
      <c r="E32" s="2">
        <f t="shared" si="0"/>
        <v>6.0604487055825613</v>
      </c>
    </row>
    <row r="33" spans="2:5">
      <c r="B33" s="2">
        <v>21.2</v>
      </c>
      <c r="C33" s="2">
        <f t="shared" si="1"/>
        <v>-0.28883877709401762</v>
      </c>
      <c r="D33" s="2">
        <f t="shared" si="2"/>
        <v>6.7220969427350443</v>
      </c>
      <c r="E33" s="2">
        <f t="shared" si="0"/>
        <v>6.7220969427350443</v>
      </c>
    </row>
    <row r="34" spans="2:5">
      <c r="B34" s="2">
        <v>22.2</v>
      </c>
      <c r="C34" s="2">
        <f t="shared" si="1"/>
        <v>-1.2073364206067587</v>
      </c>
      <c r="D34" s="2">
        <f t="shared" si="2"/>
        <v>9.0183410515168969</v>
      </c>
      <c r="E34" s="2">
        <f t="shared" si="0"/>
        <v>9.0183410515168969</v>
      </c>
    </row>
    <row r="35" spans="2:5">
      <c r="B35" s="2">
        <v>23.2</v>
      </c>
      <c r="C35" s="2">
        <f t="shared" si="1"/>
        <v>-1.9352099151945388</v>
      </c>
      <c r="D35" s="2">
        <f t="shared" si="2"/>
        <v>10.838024787986347</v>
      </c>
      <c r="E35" s="2">
        <f t="shared" si="0"/>
        <v>10.838024787986347</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E004E8-9D79-4175-B5D1-B1D1C5838EA6}">
  <dimension ref="B1:O103"/>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102</v>
      </c>
    </row>
    <row r="2" spans="2:10" ht="15.75" thickBot="1">
      <c r="B2" s="2" t="s">
        <v>12</v>
      </c>
      <c r="C2" s="4">
        <v>1</v>
      </c>
      <c r="D2" s="2" t="s">
        <v>16</v>
      </c>
      <c r="E2" s="33" t="s">
        <v>287</v>
      </c>
      <c r="F2" s="9">
        <f>2*PI()*C11</f>
        <v>14430.014430014431</v>
      </c>
      <c r="H2" s="6" t="s">
        <v>36</v>
      </c>
    </row>
    <row r="3" spans="2:10" ht="15.75" thickBot="1">
      <c r="B3" s="2" t="s">
        <v>15</v>
      </c>
      <c r="C3" s="4">
        <v>33</v>
      </c>
      <c r="D3" s="2" t="s">
        <v>16</v>
      </c>
      <c r="E3" s="2" t="s">
        <v>291</v>
      </c>
      <c r="F3" s="9">
        <f>1/SQRT(1+(F2*C3*1000*C4*0.000001)^2)</f>
        <v>9.9503719020998901E-2</v>
      </c>
      <c r="H3" s="2" t="s">
        <v>9</v>
      </c>
      <c r="I3" s="4">
        <v>5</v>
      </c>
      <c r="J3" s="2" t="s">
        <v>18</v>
      </c>
    </row>
    <row r="4" spans="2:10" ht="15.75" thickBot="1">
      <c r="B4" s="2" t="s">
        <v>82</v>
      </c>
      <c r="C4" s="4">
        <v>2.1000000000000001E-2</v>
      </c>
      <c r="D4" s="2" t="s">
        <v>83</v>
      </c>
      <c r="E4" s="33" t="s">
        <v>288</v>
      </c>
      <c r="F4" s="9">
        <f>-ATAN(F2*C3*1000*C4*0.000001)</f>
        <v>-1.4711276743037347</v>
      </c>
      <c r="G4" s="2" t="s">
        <v>290</v>
      </c>
      <c r="H4" s="2" t="s">
        <v>10</v>
      </c>
      <c r="I4" s="5">
        <v>-5</v>
      </c>
      <c r="J4" s="2" t="s">
        <v>19</v>
      </c>
    </row>
    <row r="5" spans="2:10" ht="15.75" thickBot="1">
      <c r="B5" s="2" t="s">
        <v>11</v>
      </c>
      <c r="C5" s="4">
        <v>0.5</v>
      </c>
      <c r="D5" s="2" t="s">
        <v>17</v>
      </c>
      <c r="E5" s="17" t="s">
        <v>286</v>
      </c>
      <c r="F5" s="9">
        <f>ABS(F4)/F2</f>
        <v>1.0194914782924881E-4</v>
      </c>
      <c r="G5" s="2" t="s">
        <v>289</v>
      </c>
      <c r="H5" s="2" t="s">
        <v>31</v>
      </c>
      <c r="I5" s="4">
        <v>0</v>
      </c>
      <c r="J5" s="2" t="s">
        <v>32</v>
      </c>
    </row>
    <row r="6" spans="2:10">
      <c r="B6" s="2" t="s">
        <v>0</v>
      </c>
      <c r="C6" s="3">
        <f>(1+C3/C2)*C5</f>
        <v>17</v>
      </c>
      <c r="D6" s="2" t="s">
        <v>17</v>
      </c>
      <c r="I6" s="16"/>
    </row>
    <row r="7" spans="2:10">
      <c r="B7" s="2" t="s">
        <v>1</v>
      </c>
      <c r="C7" s="3">
        <f>-C3/C2</f>
        <v>-33</v>
      </c>
      <c r="D7" s="2" t="s">
        <v>39</v>
      </c>
    </row>
    <row r="8" spans="2:10" ht="15.75" thickBot="1">
      <c r="B8" s="2" t="s">
        <v>97</v>
      </c>
      <c r="C8" s="3">
        <f>1/(2*PI()*C11*C4*0.000001)</f>
        <v>3300</v>
      </c>
      <c r="D8" s="2" t="s">
        <v>214</v>
      </c>
      <c r="H8" s="6" t="s">
        <v>33</v>
      </c>
    </row>
    <row r="9" spans="2:10" ht="15.75" thickBot="1">
      <c r="B9" s="2" t="s">
        <v>215</v>
      </c>
      <c r="C9" s="3">
        <f>-((C3*1000)*C8/(C3*1000+C8))/(C2*1000)</f>
        <v>-3</v>
      </c>
      <c r="D9" s="2" t="s">
        <v>39</v>
      </c>
      <c r="H9" s="6" t="s">
        <v>29</v>
      </c>
      <c r="I9" s="4">
        <v>1</v>
      </c>
      <c r="J9" s="2" t="s">
        <v>17</v>
      </c>
    </row>
    <row r="10" spans="2:10" ht="15.75" thickBot="1">
      <c r="B10" s="2" t="s">
        <v>25</v>
      </c>
      <c r="C10" s="4">
        <v>1</v>
      </c>
      <c r="D10" s="2" t="s">
        <v>38</v>
      </c>
      <c r="H10" s="6" t="s">
        <v>34</v>
      </c>
      <c r="I10" s="3">
        <f>IF($C$7*I9/SQRT(1+($C$11/$C$13)^2)&gt;($I$3-$I$5),($I$3-$I$5),IF($C$7*I9/SQRT(1+($C$11/$C$13)^2)&lt;($I$4+$I$5),($I$4+$I$5),$C$7*I9/SQRT(1+($C$11/$C$13)^2)))</f>
        <v>-3.2836227276929644</v>
      </c>
      <c r="J10" s="2" t="s">
        <v>17</v>
      </c>
    </row>
    <row r="11" spans="2:10" ht="15.75" thickBot="1">
      <c r="B11" s="2" t="s">
        <v>84</v>
      </c>
      <c r="C11" s="4">
        <f>C13*10</f>
        <v>2296.6081254241753</v>
      </c>
      <c r="D11" s="2" t="s">
        <v>80</v>
      </c>
    </row>
    <row r="12" spans="2:10">
      <c r="B12" s="2" t="s">
        <v>87</v>
      </c>
      <c r="C12" s="3">
        <f>1/C11</f>
        <v>4.354247417875453E-4</v>
      </c>
      <c r="D12" s="2" t="s">
        <v>86</v>
      </c>
      <c r="H12" s="6" t="s">
        <v>103</v>
      </c>
    </row>
    <row r="13" spans="2:10" ht="15.75" thickBot="1">
      <c r="B13" s="2" t="s">
        <v>81</v>
      </c>
      <c r="C13" s="3">
        <f>1/(2*PI()*(C3*1000)*(C4*0.000001))</f>
        <v>229.66081254241752</v>
      </c>
      <c r="D13" s="2" t="s">
        <v>80</v>
      </c>
      <c r="H13" s="17" t="s">
        <v>104</v>
      </c>
      <c r="I13" s="3">
        <f>1000*(C3*1000)*(C4*0.000001)</f>
        <v>0.69299999999999995</v>
      </c>
      <c r="J13" s="2" t="s">
        <v>105</v>
      </c>
    </row>
    <row r="14" spans="2:10" ht="15.75" thickBot="1">
      <c r="B14" s="2" t="s">
        <v>89</v>
      </c>
      <c r="C14" s="4">
        <v>4</v>
      </c>
      <c r="D14" s="2" t="s">
        <v>90</v>
      </c>
    </row>
    <row r="15" spans="2:10">
      <c r="B15" s="2" t="s">
        <v>88</v>
      </c>
      <c r="C15" s="3">
        <f>C12*C14/25</f>
        <v>6.9667958686007244E-5</v>
      </c>
      <c r="D15" s="2" t="s">
        <v>86</v>
      </c>
    </row>
    <row r="17" spans="2:6">
      <c r="E17" s="6" t="s">
        <v>30</v>
      </c>
      <c r="F17" s="6"/>
    </row>
    <row r="18" spans="2:6">
      <c r="B18" s="7" t="s">
        <v>85</v>
      </c>
      <c r="C18" s="7" t="s">
        <v>7</v>
      </c>
      <c r="D18" s="7" t="s">
        <v>3</v>
      </c>
      <c r="E18" s="7" t="s">
        <v>3</v>
      </c>
      <c r="F18" s="28" t="s">
        <v>216</v>
      </c>
    </row>
    <row r="19" spans="2:6">
      <c r="B19" s="2">
        <v>0</v>
      </c>
      <c r="C19" s="2">
        <f t="shared" ref="C19:C44" si="0">$C$10*SIN($B19*$C$11*2*PI())</f>
        <v>0</v>
      </c>
      <c r="D19" s="2">
        <f>$C$7*$F$3*$C$10*SIN($F$2*B19+$F$4)+(1-$C$7*$F$3)*$C$5</f>
        <v>5.4091380965197491</v>
      </c>
      <c r="E19" s="2">
        <f t="shared" ref="E19:E44" si="1">IF(D19&gt;($I$3-$I$5),($I$3-$I$5),IF(D19&lt;($I$4+$I$5),($I$4+$I$5),D19))</f>
        <v>5</v>
      </c>
      <c r="F19" s="28">
        <f t="shared" ref="F19:F44" si="2">$C$9*C19+(1-$C$9)*$C$5</f>
        <v>2</v>
      </c>
    </row>
    <row r="20" spans="2:6">
      <c r="B20" s="2">
        <f t="shared" ref="B20:B44" si="3">B19+$C$15</f>
        <v>6.9667958686007244E-5</v>
      </c>
      <c r="C20" s="2">
        <f t="shared" si="0"/>
        <v>0.84432792550201496</v>
      </c>
      <c r="D20" s="2">
        <f t="shared" ref="D20:D44" si="4">$C$7*$F$3*$C$10*SIN($F$2*B20+$F$4)+(1-$C$7*$F$3)*$C$5</f>
        <v>3.6166630549504668</v>
      </c>
      <c r="E20" s="2">
        <f t="shared" si="1"/>
        <v>3.6166630549504668</v>
      </c>
      <c r="F20" s="28">
        <f t="shared" si="2"/>
        <v>-0.532983776506045</v>
      </c>
    </row>
    <row r="21" spans="2:6">
      <c r="B21" s="2">
        <f t="shared" si="3"/>
        <v>1.3933591737201449E-4</v>
      </c>
      <c r="C21" s="2">
        <f t="shared" si="0"/>
        <v>0.90482705246601969</v>
      </c>
      <c r="D21" s="2">
        <f t="shared" si="4"/>
        <v>0.45501474060041769</v>
      </c>
      <c r="E21" s="2">
        <f t="shared" si="1"/>
        <v>0.45501474060041769</v>
      </c>
      <c r="F21" s="28">
        <f t="shared" si="2"/>
        <v>-0.71448115739805917</v>
      </c>
    </row>
    <row r="22" spans="2:6">
      <c r="B22" s="2">
        <f t="shared" si="3"/>
        <v>2.0900387605802173E-4</v>
      </c>
      <c r="C22" s="2">
        <f t="shared" si="0"/>
        <v>0.12533323356430454</v>
      </c>
      <c r="D22" s="2">
        <f t="shared" si="4"/>
        <v>-1.1407019840881687</v>
      </c>
      <c r="E22" s="2">
        <f t="shared" si="1"/>
        <v>-1.1407019840881687</v>
      </c>
      <c r="F22" s="28">
        <f t="shared" si="2"/>
        <v>1.6240002993070863</v>
      </c>
    </row>
    <row r="23" spans="2:6">
      <c r="B23" s="2">
        <f t="shared" si="3"/>
        <v>2.7867183474402897E-4</v>
      </c>
      <c r="C23" s="2">
        <f t="shared" si="0"/>
        <v>-0.77051324277578881</v>
      </c>
      <c r="D23" s="2">
        <f t="shared" si="4"/>
        <v>0.31089077369334572</v>
      </c>
      <c r="E23" s="2">
        <f t="shared" si="1"/>
        <v>0.31089077369334572</v>
      </c>
      <c r="F23" s="28">
        <f t="shared" si="2"/>
        <v>4.3115397283273662</v>
      </c>
    </row>
    <row r="24" spans="2:6">
      <c r="B24" s="2">
        <f t="shared" si="3"/>
        <v>3.4833979343003622E-4</v>
      </c>
      <c r="C24" s="2">
        <f t="shared" si="0"/>
        <v>-0.95105651629515364</v>
      </c>
      <c r="D24" s="2">
        <f t="shared" si="4"/>
        <v>3.4622120884155176</v>
      </c>
      <c r="E24" s="2">
        <f t="shared" si="1"/>
        <v>3.4622120884155176</v>
      </c>
      <c r="F24" s="28">
        <f t="shared" si="2"/>
        <v>4.8531695488854609</v>
      </c>
    </row>
    <row r="25" spans="2:6">
      <c r="B25" s="2">
        <f t="shared" si="3"/>
        <v>4.1800775211604346E-4</v>
      </c>
      <c r="C25" s="2">
        <f t="shared" si="0"/>
        <v>-0.24868988716485535</v>
      </c>
      <c r="D25" s="2">
        <f t="shared" si="4"/>
        <v>5.3877441306671594</v>
      </c>
      <c r="E25" s="2">
        <f t="shared" si="1"/>
        <v>5</v>
      </c>
      <c r="F25" s="28">
        <f t="shared" si="2"/>
        <v>2.7460696614945661</v>
      </c>
    </row>
    <row r="26" spans="2:6">
      <c r="B26" s="2">
        <f t="shared" si="3"/>
        <v>4.876757108020507E-4</v>
      </c>
      <c r="C26" s="2">
        <f t="shared" si="0"/>
        <v>0.68454710592868795</v>
      </c>
      <c r="D26" s="2">
        <f t="shared" si="4"/>
        <v>4.2999261416031089</v>
      </c>
      <c r="E26" s="2">
        <f t="shared" si="1"/>
        <v>4.2999261416031089</v>
      </c>
      <c r="F26" s="28">
        <f t="shared" si="2"/>
        <v>-5.3641317786063958E-2</v>
      </c>
    </row>
    <row r="27" spans="2:6">
      <c r="B27" s="2">
        <f t="shared" si="3"/>
        <v>5.5734366948805795E-4</v>
      </c>
      <c r="C27" s="2">
        <f t="shared" si="0"/>
        <v>0.98228725072868894</v>
      </c>
      <c r="D27" s="2">
        <f t="shared" si="4"/>
        <v>1.2086300461500921</v>
      </c>
      <c r="E27" s="2">
        <f t="shared" si="1"/>
        <v>1.2086300461500921</v>
      </c>
      <c r="F27" s="28">
        <f t="shared" si="2"/>
        <v>-0.94686175218606694</v>
      </c>
    </row>
    <row r="28" spans="2:6">
      <c r="B28" s="2">
        <f t="shared" si="3"/>
        <v>6.2701162817406519E-4</v>
      </c>
      <c r="C28" s="2">
        <f t="shared" si="0"/>
        <v>0.36812455268467797</v>
      </c>
      <c r="D28" s="2">
        <f t="shared" si="4"/>
        <v>-1.016350523101214</v>
      </c>
      <c r="E28" s="2">
        <f t="shared" si="1"/>
        <v>-1.016350523101214</v>
      </c>
      <c r="F28" s="28">
        <f t="shared" si="2"/>
        <v>0.89562634194596602</v>
      </c>
    </row>
    <row r="29" spans="2:6">
      <c r="B29" s="2">
        <f t="shared" si="3"/>
        <v>6.9667958686007244E-4</v>
      </c>
      <c r="C29" s="2">
        <f t="shared" si="0"/>
        <v>-0.5877852522924728</v>
      </c>
      <c r="D29" s="2">
        <f t="shared" si="4"/>
        <v>-0.30946284227313159</v>
      </c>
      <c r="E29" s="2">
        <f t="shared" si="1"/>
        <v>-0.30946284227313159</v>
      </c>
      <c r="F29" s="28">
        <f t="shared" si="2"/>
        <v>3.7633557568774183</v>
      </c>
    </row>
    <row r="30" spans="2:6">
      <c r="B30" s="2">
        <f t="shared" si="3"/>
        <v>7.6634754554607968E-4</v>
      </c>
      <c r="C30" s="2">
        <f t="shared" si="0"/>
        <v>-0.99802672842827167</v>
      </c>
      <c r="D30" s="2">
        <f t="shared" si="4"/>
        <v>2.6730564478346581</v>
      </c>
      <c r="E30" s="2">
        <f t="shared" si="1"/>
        <v>2.6730564478346581</v>
      </c>
      <c r="F30" s="28">
        <f t="shared" si="2"/>
        <v>4.9940801852848153</v>
      </c>
    </row>
    <row r="31" spans="2:6">
      <c r="B31" s="2">
        <f t="shared" si="3"/>
        <v>8.3601550423208692E-4</v>
      </c>
      <c r="C31" s="2">
        <f t="shared" si="0"/>
        <v>-0.48175367410171632</v>
      </c>
      <c r="D31" s="2">
        <f t="shared" si="4"/>
        <v>5.1623962713695661</v>
      </c>
      <c r="E31" s="2">
        <f t="shared" si="1"/>
        <v>5</v>
      </c>
      <c r="F31" s="28">
        <f t="shared" si="2"/>
        <v>3.4452610223051492</v>
      </c>
    </row>
    <row r="32" spans="2:6">
      <c r="B32" s="2">
        <f t="shared" si="3"/>
        <v>9.0568346291809417E-4</v>
      </c>
      <c r="C32" s="2">
        <f t="shared" si="0"/>
        <v>0.48175367410171543</v>
      </c>
      <c r="D32" s="2">
        <f t="shared" si="4"/>
        <v>4.8475869397783518</v>
      </c>
      <c r="E32" s="2">
        <f t="shared" si="1"/>
        <v>4.8475869397783518</v>
      </c>
      <c r="F32" s="28">
        <f t="shared" si="2"/>
        <v>0.5547389776948537</v>
      </c>
    </row>
    <row r="33" spans="2:11">
      <c r="B33" s="2">
        <f t="shared" si="3"/>
        <v>9.7535142160410141E-4</v>
      </c>
      <c r="C33" s="2">
        <f t="shared" si="0"/>
        <v>0.99802672842827145</v>
      </c>
      <c r="D33" s="2">
        <f t="shared" si="4"/>
        <v>2.0208805658914408</v>
      </c>
      <c r="E33" s="2">
        <f t="shared" si="1"/>
        <v>2.0208805658914408</v>
      </c>
      <c r="F33" s="28">
        <f t="shared" si="2"/>
        <v>-0.99408018528481445</v>
      </c>
    </row>
    <row r="34" spans="2:11">
      <c r="B34" s="2">
        <f t="shared" si="3"/>
        <v>1.0450193802901088E-3</v>
      </c>
      <c r="C34" s="2">
        <f t="shared" si="0"/>
        <v>0.58778525229247358</v>
      </c>
      <c r="D34" s="2">
        <f t="shared" si="4"/>
        <v>-0.693560135850392</v>
      </c>
      <c r="E34" s="2">
        <f t="shared" si="1"/>
        <v>-0.693560135850392</v>
      </c>
      <c r="F34" s="28">
        <f t="shared" si="2"/>
        <v>0.23664424312257926</v>
      </c>
    </row>
    <row r="35" spans="2:11">
      <c r="B35" s="2">
        <f t="shared" si="3"/>
        <v>1.1146873389761159E-3</v>
      </c>
      <c r="C35" s="2">
        <f t="shared" si="0"/>
        <v>-0.36812455268467542</v>
      </c>
      <c r="D35" s="2">
        <f t="shared" si="4"/>
        <v>-0.77579388471320998</v>
      </c>
      <c r="E35" s="2">
        <f t="shared" si="1"/>
        <v>-0.77579388471320998</v>
      </c>
      <c r="F35" s="28">
        <f t="shared" si="2"/>
        <v>3.1043736580540262</v>
      </c>
    </row>
    <row r="36" spans="2:11">
      <c r="B36" s="2">
        <f t="shared" si="3"/>
        <v>1.184355297662123E-3</v>
      </c>
      <c r="C36" s="2">
        <f t="shared" si="0"/>
        <v>-0.98228725072868839</v>
      </c>
      <c r="D36" s="2">
        <f t="shared" si="4"/>
        <v>1.85052072484408</v>
      </c>
      <c r="E36" s="2">
        <f t="shared" si="1"/>
        <v>1.85052072484408</v>
      </c>
      <c r="F36" s="28">
        <f t="shared" si="2"/>
        <v>4.9468617521860647</v>
      </c>
    </row>
    <row r="37" spans="2:11">
      <c r="B37" s="2">
        <f t="shared" si="3"/>
        <v>1.2540232563481302E-3</v>
      </c>
      <c r="C37" s="2">
        <f t="shared" si="0"/>
        <v>-0.68454710592869128</v>
      </c>
      <c r="D37" s="2">
        <f t="shared" si="4"/>
        <v>4.7472539533980855</v>
      </c>
      <c r="E37" s="2">
        <f t="shared" si="1"/>
        <v>4.7472539533980855</v>
      </c>
      <c r="F37" s="28">
        <f t="shared" si="2"/>
        <v>4.0536413177860737</v>
      </c>
    </row>
    <row r="38" spans="2:11">
      <c r="B38" s="2">
        <f t="shared" si="3"/>
        <v>1.3236912150341373E-3</v>
      </c>
      <c r="C38" s="2">
        <f t="shared" si="0"/>
        <v>0.24868988716484924</v>
      </c>
      <c r="D38" s="2">
        <f t="shared" si="4"/>
        <v>5.2252339073713197</v>
      </c>
      <c r="E38" s="2">
        <f t="shared" si="1"/>
        <v>5</v>
      </c>
      <c r="F38" s="28">
        <f t="shared" si="2"/>
        <v>1.2539303385054523</v>
      </c>
      <c r="H38" s="6" t="s">
        <v>65</v>
      </c>
    </row>
    <row r="39" spans="2:11">
      <c r="B39" s="2">
        <f t="shared" si="3"/>
        <v>1.3933591737201444E-3</v>
      </c>
      <c r="C39" s="2">
        <f t="shared" si="0"/>
        <v>0.95105651629515109</v>
      </c>
      <c r="D39" s="2">
        <f t="shared" si="4"/>
        <v>2.8407296124206889</v>
      </c>
      <c r="E39" s="2">
        <f t="shared" si="1"/>
        <v>2.8407296124206889</v>
      </c>
      <c r="F39" s="28">
        <f t="shared" si="2"/>
        <v>-0.85316954888545338</v>
      </c>
      <c r="H39" s="12" t="s">
        <v>64</v>
      </c>
      <c r="I39" s="12">
        <f>I3</f>
        <v>5</v>
      </c>
      <c r="J39" s="12" t="s">
        <v>17</v>
      </c>
      <c r="K39" s="13" t="str">
        <f>TRIM(H39)&amp;"   "&amp;IF(I39&gt;0,"+","")&amp;TRIM(I39)&amp;" "&amp;TRIM(J39)</f>
        <v>V+:   +5 V</v>
      </c>
    </row>
    <row r="40" spans="2:11">
      <c r="B40" s="2">
        <f t="shared" si="3"/>
        <v>1.4630271324061516E-3</v>
      </c>
      <c r="C40" s="2">
        <f t="shared" si="0"/>
        <v>0.77051324277579569</v>
      </c>
      <c r="D40" s="2">
        <f t="shared" si="4"/>
        <v>-0.19261292950665165</v>
      </c>
      <c r="E40" s="2">
        <f t="shared" si="1"/>
        <v>-0.19261292950665165</v>
      </c>
      <c r="F40" s="28">
        <f t="shared" si="2"/>
        <v>-0.31153972832738708</v>
      </c>
      <c r="H40" s="12" t="s">
        <v>66</v>
      </c>
      <c r="I40" s="12">
        <f>I4</f>
        <v>-5</v>
      </c>
      <c r="J40" s="12" t="s">
        <v>17</v>
      </c>
      <c r="K40" s="13" t="str">
        <f t="shared" ref="K40:K41" si="5">TRIM(H40)&amp;"   "&amp;IF(I40&gt;0,"+","")&amp;TRIM(I40)&amp;" "&amp;TRIM(J40)</f>
        <v>V-:   -5 V</v>
      </c>
    </row>
    <row r="41" spans="2:11">
      <c r="B41" s="2">
        <f t="shared" si="3"/>
        <v>1.5326950910921587E-3</v>
      </c>
      <c r="C41" s="2">
        <f t="shared" si="0"/>
        <v>-0.1253332335642921</v>
      </c>
      <c r="D41" s="2">
        <f t="shared" si="4"/>
        <v>-1.0588010591847703</v>
      </c>
      <c r="E41" s="2">
        <f t="shared" si="1"/>
        <v>-1.0588010591847703</v>
      </c>
      <c r="F41" s="28">
        <f t="shared" si="2"/>
        <v>2.3759997006928764</v>
      </c>
      <c r="H41" s="12" t="s">
        <v>29</v>
      </c>
      <c r="I41" s="12">
        <f>I9</f>
        <v>1</v>
      </c>
      <c r="J41" s="12" t="s">
        <v>17</v>
      </c>
      <c r="K41" s="13" t="str">
        <f t="shared" si="5"/>
        <v>Vin:   +1 V</v>
      </c>
    </row>
    <row r="42" spans="2:11">
      <c r="B42" s="2">
        <f t="shared" si="3"/>
        <v>1.6023630497781658E-3</v>
      </c>
      <c r="C42" s="2">
        <f t="shared" si="0"/>
        <v>-0.90482705246601336</v>
      </c>
      <c r="D42" s="2">
        <f t="shared" si="4"/>
        <v>1.0462878639940107</v>
      </c>
      <c r="E42" s="2">
        <f t="shared" si="1"/>
        <v>1.0462878639940107</v>
      </c>
      <c r="F42" s="28">
        <f t="shared" si="2"/>
        <v>4.7144811573980405</v>
      </c>
      <c r="H42" s="12" t="s">
        <v>67</v>
      </c>
      <c r="I42" s="12">
        <f>C2</f>
        <v>1</v>
      </c>
      <c r="J42" s="12" t="s">
        <v>16</v>
      </c>
      <c r="K42" s="13" t="str">
        <f>TRIM(H42)&amp;"   "&amp;TRIM(I42)&amp;" "&amp;TRIM(J42)</f>
        <v>R1:   1 K</v>
      </c>
    </row>
    <row r="43" spans="2:11">
      <c r="B43" s="2">
        <f t="shared" si="3"/>
        <v>1.672031008464173E-3</v>
      </c>
      <c r="C43" s="2">
        <f t="shared" si="0"/>
        <v>-0.84432792550202396</v>
      </c>
      <c r="D43" s="2">
        <f t="shared" si="4"/>
        <v>4.1684020953774938</v>
      </c>
      <c r="E43" s="2">
        <f t="shared" si="1"/>
        <v>4.1684020953774938</v>
      </c>
      <c r="F43" s="28">
        <f t="shared" si="2"/>
        <v>4.5329837765060716</v>
      </c>
      <c r="H43" s="12" t="s">
        <v>68</v>
      </c>
      <c r="I43" s="12">
        <f>C3</f>
        <v>33</v>
      </c>
      <c r="J43" s="12" t="s">
        <v>16</v>
      </c>
      <c r="K43" s="13" t="str">
        <f>TRIM(H43)&amp;"   "&amp;TRIM(I43)&amp;" "&amp;TRIM(J43)</f>
        <v>RF:   33 K</v>
      </c>
    </row>
    <row r="44" spans="2:11">
      <c r="B44" s="2">
        <f t="shared" si="3"/>
        <v>1.7416989671501801E-3</v>
      </c>
      <c r="C44" s="2">
        <f t="shared" si="0"/>
        <v>-1.8743687157929401E-14</v>
      </c>
      <c r="D44" s="2">
        <f t="shared" si="4"/>
        <v>5.4091380965197544</v>
      </c>
      <c r="E44" s="2">
        <f t="shared" si="1"/>
        <v>5</v>
      </c>
      <c r="F44" s="28">
        <f t="shared" si="2"/>
        <v>2.0000000000000564</v>
      </c>
      <c r="H44" s="12" t="s">
        <v>100</v>
      </c>
      <c r="I44" s="12">
        <f>C4</f>
        <v>2.1000000000000001E-2</v>
      </c>
      <c r="J44" s="12" t="s">
        <v>83</v>
      </c>
      <c r="K44" s="13" t="str">
        <f>TRIM(H44)&amp;"   "&amp;TRIM(I44)&amp;" "&amp;TRIM(J44)</f>
        <v>C1:   0.021 uF</v>
      </c>
    </row>
    <row r="45" spans="2:11">
      <c r="H45" s="12" t="s">
        <v>101</v>
      </c>
      <c r="I45" s="12">
        <f>ROUND(C11,0)</f>
        <v>2297</v>
      </c>
      <c r="J45" s="12" t="s">
        <v>80</v>
      </c>
      <c r="K45" s="13" t="str">
        <f>TRIM(H45)&amp;"   "&amp;TRIM(I45)&amp;" "&amp;TRIM(J45)</f>
        <v>f,signal:   2297 Hz</v>
      </c>
    </row>
    <row r="46" spans="2:11">
      <c r="B46" s="6" t="s">
        <v>92</v>
      </c>
    </row>
    <row r="47" spans="2:11" ht="15.75">
      <c r="B47" s="14"/>
      <c r="C47" s="2" t="s">
        <v>95</v>
      </c>
    </row>
    <row r="48" spans="2:11">
      <c r="B48" s="7" t="s">
        <v>93</v>
      </c>
      <c r="C48" s="7" t="s">
        <v>94</v>
      </c>
    </row>
    <row r="49" spans="2:3">
      <c r="B49" s="2">
        <v>1</v>
      </c>
      <c r="C49" s="2">
        <f t="shared" ref="C49:C80" si="6">20*LOG(-$C$7/SQRT(1+($B49/$C$13)^2))</f>
        <v>30.37019645840379</v>
      </c>
    </row>
    <row r="50" spans="2:3">
      <c r="B50" s="2">
        <v>2</v>
      </c>
      <c r="C50" s="2">
        <f t="shared" si="6"/>
        <v>30.369949450308052</v>
      </c>
    </row>
    <row r="51" spans="2:3">
      <c r="B51" s="2">
        <v>3</v>
      </c>
      <c r="C51" s="2">
        <f t="shared" si="6"/>
        <v>30.369537801365389</v>
      </c>
    </row>
    <row r="52" spans="2:3">
      <c r="B52" s="2">
        <v>4</v>
      </c>
      <c r="C52" s="2">
        <f t="shared" si="6"/>
        <v>30.368961558388747</v>
      </c>
    </row>
    <row r="53" spans="2:3">
      <c r="B53" s="2">
        <v>5</v>
      </c>
      <c r="C53" s="2">
        <f t="shared" si="6"/>
        <v>30.368220786891385</v>
      </c>
    </row>
    <row r="54" spans="2:3">
      <c r="B54" s="2">
        <v>6</v>
      </c>
      <c r="C54" s="2">
        <f t="shared" si="6"/>
        <v>30.367315571062093</v>
      </c>
    </row>
    <row r="55" spans="2:3">
      <c r="B55" s="2">
        <v>7</v>
      </c>
      <c r="C55" s="2">
        <f t="shared" si="6"/>
        <v>30.366246013733281</v>
      </c>
    </row>
    <row r="56" spans="2:3">
      <c r="B56" s="2">
        <v>8</v>
      </c>
      <c r="C56" s="2">
        <f t="shared" si="6"/>
        <v>30.365012236342114</v>
      </c>
    </row>
    <row r="57" spans="2:3">
      <c r="B57" s="2">
        <v>9</v>
      </c>
      <c r="C57" s="2">
        <f t="shared" si="6"/>
        <v>30.363614378884563</v>
      </c>
    </row>
    <row r="58" spans="2:3">
      <c r="B58" s="2">
        <v>10</v>
      </c>
      <c r="C58" s="2">
        <f t="shared" si="6"/>
        <v>30.362052599862576</v>
      </c>
    </row>
    <row r="59" spans="2:3">
      <c r="B59" s="2">
        <v>20</v>
      </c>
      <c r="C59" s="2">
        <f t="shared" si="6"/>
        <v>30.337467085623985</v>
      </c>
    </row>
    <row r="60" spans="2:3">
      <c r="B60" s="2">
        <v>30</v>
      </c>
      <c r="C60" s="2">
        <f t="shared" si="6"/>
        <v>30.296798009215419</v>
      </c>
    </row>
    <row r="61" spans="2:3">
      <c r="B61" s="2">
        <v>40</v>
      </c>
      <c r="C61" s="2">
        <f t="shared" si="6"/>
        <v>30.240493624404422</v>
      </c>
    </row>
    <row r="62" spans="2:3">
      <c r="B62" s="2">
        <v>50</v>
      </c>
      <c r="C62" s="2">
        <f t="shared" si="6"/>
        <v>30.16915858992185</v>
      </c>
    </row>
    <row r="63" spans="2:3">
      <c r="B63" s="2">
        <v>60</v>
      </c>
      <c r="C63" s="2">
        <f t="shared" si="6"/>
        <v>30.083533138337927</v>
      </c>
    </row>
    <row r="64" spans="2:3">
      <c r="B64" s="2">
        <v>70</v>
      </c>
      <c r="C64" s="2">
        <f t="shared" si="6"/>
        <v>29.984468951514316</v>
      </c>
    </row>
    <row r="65" spans="2:3">
      <c r="B65" s="2">
        <v>80</v>
      </c>
      <c r="C65" s="2">
        <f t="shared" si="6"/>
        <v>29.872903284388698</v>
      </c>
    </row>
    <row r="66" spans="2:3">
      <c r="B66" s="2">
        <v>90</v>
      </c>
      <c r="C66" s="2">
        <f t="shared" si="6"/>
        <v>29.749832821878943</v>
      </c>
    </row>
    <row r="67" spans="2:3">
      <c r="B67" s="2">
        <v>100</v>
      </c>
      <c r="C67" s="2">
        <f t="shared" si="6"/>
        <v>29.616288570461879</v>
      </c>
    </row>
    <row r="68" spans="2:3">
      <c r="B68" s="2">
        <v>200</v>
      </c>
      <c r="C68" s="2">
        <f t="shared" si="6"/>
        <v>27.919154350511036</v>
      </c>
    </row>
    <row r="69" spans="2:3">
      <c r="B69" s="2">
        <v>300</v>
      </c>
      <c r="C69" s="2">
        <f t="shared" si="6"/>
        <v>26.04643541115442</v>
      </c>
    </row>
    <row r="70" spans="2:3">
      <c r="B70" s="2">
        <v>400</v>
      </c>
      <c r="C70" s="2">
        <f t="shared" si="6"/>
        <v>24.313441719431786</v>
      </c>
    </row>
    <row r="71" spans="2:3">
      <c r="B71" s="2">
        <v>500</v>
      </c>
      <c r="C71" s="2">
        <f t="shared" si="6"/>
        <v>22.781260016670398</v>
      </c>
    </row>
    <row r="72" spans="2:3">
      <c r="B72" s="2">
        <v>600</v>
      </c>
      <c r="C72" s="2">
        <f t="shared" si="6"/>
        <v>21.435208116564173</v>
      </c>
    </row>
    <row r="73" spans="2:3">
      <c r="B73" s="2">
        <v>700</v>
      </c>
      <c r="C73" s="2">
        <f t="shared" si="6"/>
        <v>20.246065716901352</v>
      </c>
    </row>
    <row r="74" spans="2:3">
      <c r="B74" s="2">
        <v>800</v>
      </c>
      <c r="C74" s="2">
        <f t="shared" si="6"/>
        <v>19.186288451788137</v>
      </c>
    </row>
    <row r="75" spans="2:3">
      <c r="B75" s="2">
        <v>900</v>
      </c>
      <c r="C75" s="2">
        <f t="shared" si="6"/>
        <v>18.233196814567808</v>
      </c>
    </row>
    <row r="76" spans="2:3">
      <c r="B76" s="2">
        <v>1000</v>
      </c>
      <c r="C76" s="2">
        <f t="shared" si="6"/>
        <v>17.368788622903221</v>
      </c>
    </row>
    <row r="77" spans="2:3">
      <c r="B77" s="2">
        <v>2000</v>
      </c>
      <c r="C77" s="2">
        <f t="shared" si="6"/>
        <v>11.514524928038911</v>
      </c>
    </row>
    <row r="78" spans="2:3">
      <c r="B78" s="2">
        <v>3000</v>
      </c>
      <c r="C78" s="2">
        <f t="shared" si="6"/>
        <v>8.0242143030230775</v>
      </c>
    </row>
    <row r="79" spans="2:3">
      <c r="B79" s="2">
        <v>4000</v>
      </c>
      <c r="C79" s="2">
        <f t="shared" si="6"/>
        <v>5.5365239154444277</v>
      </c>
    </row>
    <row r="80" spans="2:3">
      <c r="B80" s="2">
        <v>5000</v>
      </c>
      <c r="C80" s="2">
        <f t="shared" si="6"/>
        <v>3.6034637166209924</v>
      </c>
    </row>
    <row r="81" spans="2:15">
      <c r="B81" s="2">
        <v>6000</v>
      </c>
      <c r="C81" s="2">
        <f t="shared" ref="C81:C103" si="7">20*LOG(-$C$7/SQRT(1+($B81/$C$13)^2))</f>
        <v>2.0226334797056529</v>
      </c>
    </row>
    <row r="82" spans="2:15">
      <c r="B82" s="2">
        <v>7000</v>
      </c>
      <c r="C82" s="2">
        <f t="shared" si="7"/>
        <v>0.68538366293710395</v>
      </c>
    </row>
    <row r="83" spans="2:15">
      <c r="B83" s="2">
        <v>8000</v>
      </c>
      <c r="C83" s="2">
        <f t="shared" si="7"/>
        <v>-0.47336066308539848</v>
      </c>
    </row>
    <row r="84" spans="2:15">
      <c r="B84" s="2">
        <v>9000</v>
      </c>
      <c r="C84" s="2">
        <f t="shared" si="7"/>
        <v>-1.4956604891527172</v>
      </c>
    </row>
    <row r="85" spans="2:15">
      <c r="B85" s="2">
        <v>10000</v>
      </c>
      <c r="C85" s="2">
        <f t="shared" si="7"/>
        <v>-2.41027330463531</v>
      </c>
    </row>
    <row r="86" spans="2:15">
      <c r="B86" s="2">
        <v>20000</v>
      </c>
      <c r="C86" s="2">
        <f t="shared" si="7"/>
        <v>-8.4291557990361436</v>
      </c>
    </row>
    <row r="87" spans="2:15">
      <c r="B87" s="2">
        <v>30000</v>
      </c>
      <c r="C87" s="2">
        <f t="shared" si="7"/>
        <v>-11.950662865073284</v>
      </c>
    </row>
    <row r="88" spans="2:15">
      <c r="B88" s="2">
        <v>40000</v>
      </c>
      <c r="C88" s="2">
        <f t="shared" si="7"/>
        <v>-14.449326251457297</v>
      </c>
    </row>
    <row r="89" spans="2:15">
      <c r="B89" s="2">
        <v>50000</v>
      </c>
      <c r="C89" s="2">
        <f t="shared" si="7"/>
        <v>-16.387474973461437</v>
      </c>
      <c r="O89" s="2" t="s">
        <v>294</v>
      </c>
    </row>
    <row r="90" spans="2:15">
      <c r="B90" s="2">
        <v>60000</v>
      </c>
      <c r="C90" s="2">
        <f t="shared" si="7"/>
        <v>-17.971071898121686</v>
      </c>
    </row>
    <row r="91" spans="2:15">
      <c r="B91" s="2">
        <v>70000</v>
      </c>
      <c r="C91" s="2">
        <f t="shared" si="7"/>
        <v>-19.309990809765505</v>
      </c>
    </row>
    <row r="92" spans="2:15">
      <c r="B92" s="2">
        <v>80000</v>
      </c>
      <c r="C92" s="2">
        <f t="shared" si="7"/>
        <v>-20.469818792886336</v>
      </c>
    </row>
    <row r="93" spans="2:15">
      <c r="B93" s="2">
        <v>90000</v>
      </c>
      <c r="C93" s="2">
        <f t="shared" si="7"/>
        <v>-21.492861730123664</v>
      </c>
    </row>
    <row r="94" spans="2:15">
      <c r="B94" s="2">
        <v>100000</v>
      </c>
      <c r="C94" s="2">
        <f t="shared" si="7"/>
        <v>-22.408006168247002</v>
      </c>
    </row>
    <row r="95" spans="2:15">
      <c r="B95" s="2">
        <v>200000</v>
      </c>
      <c r="C95" s="2">
        <f t="shared" si="7"/>
        <v>-28.428588901733214</v>
      </c>
    </row>
    <row r="96" spans="2:15">
      <c r="B96" s="2">
        <v>300000</v>
      </c>
      <c r="C96" s="2">
        <f t="shared" si="7"/>
        <v>-31.950410901396161</v>
      </c>
    </row>
    <row r="97" spans="2:3">
      <c r="B97" s="2">
        <v>400000</v>
      </c>
      <c r="C97" s="2">
        <f t="shared" si="7"/>
        <v>-34.449184520053869</v>
      </c>
    </row>
    <row r="98" spans="2:3">
      <c r="B98" s="2">
        <v>500000</v>
      </c>
      <c r="C98" s="2">
        <f t="shared" si="7"/>
        <v>-36.387384264819637</v>
      </c>
    </row>
    <row r="99" spans="2:3">
      <c r="B99" s="2">
        <v>600000</v>
      </c>
      <c r="C99" s="2">
        <f t="shared" si="7"/>
        <v>-37.971008905804254</v>
      </c>
    </row>
    <row r="100" spans="2:3">
      <c r="B100" s="2">
        <v>700000</v>
      </c>
      <c r="C100" s="2">
        <f t="shared" si="7"/>
        <v>-39.309944529604707</v>
      </c>
    </row>
    <row r="101" spans="2:3">
      <c r="B101" s="2">
        <v>800000</v>
      </c>
      <c r="C101" s="2">
        <f t="shared" si="7"/>
        <v>-40.469783359593087</v>
      </c>
    </row>
    <row r="102" spans="2:3">
      <c r="B102" s="2">
        <v>900000</v>
      </c>
      <c r="C102" s="2">
        <f t="shared" si="7"/>
        <v>-41.492833733423062</v>
      </c>
    </row>
    <row r="103" spans="2:3">
      <c r="B103" s="2">
        <v>1000000</v>
      </c>
      <c r="C103" s="2">
        <f t="shared" si="7"/>
        <v>-42.407983490905352</v>
      </c>
    </row>
  </sheetData>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770CE-849F-46E6-96D8-865C6613CABF}">
  <dimension ref="B1:P103"/>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272</v>
      </c>
    </row>
    <row r="2" spans="2:10" ht="15.75" thickBot="1">
      <c r="B2" s="2" t="s">
        <v>174</v>
      </c>
      <c r="C2" s="4">
        <v>100</v>
      </c>
      <c r="D2" s="2" t="s">
        <v>16</v>
      </c>
      <c r="E2" s="33" t="s">
        <v>287</v>
      </c>
      <c r="F2" s="9">
        <f>2*PI()*C12</f>
        <v>1256.6370614359173</v>
      </c>
      <c r="H2" s="6" t="s">
        <v>36</v>
      </c>
    </row>
    <row r="3" spans="2:10" ht="15.75" thickBot="1">
      <c r="B3" s="2" t="s">
        <v>12</v>
      </c>
      <c r="C3" s="4">
        <v>1</v>
      </c>
      <c r="D3" s="2" t="s">
        <v>16</v>
      </c>
      <c r="E3" s="2" t="s">
        <v>291</v>
      </c>
      <c r="F3" s="9">
        <f>(F2*C3*1000*C5*0.000001)/SQRT(1+(F2*C3*1000*C5*0.000001)^2)</f>
        <v>0.94037211935637333</v>
      </c>
      <c r="H3" s="2" t="s">
        <v>9</v>
      </c>
      <c r="I3" s="4">
        <v>5</v>
      </c>
      <c r="J3" s="2" t="s">
        <v>18</v>
      </c>
    </row>
    <row r="4" spans="2:10" ht="15.75" thickBot="1">
      <c r="B4" s="2" t="s">
        <v>15</v>
      </c>
      <c r="C4" s="4">
        <v>100</v>
      </c>
      <c r="D4" s="2" t="s">
        <v>16</v>
      </c>
      <c r="E4" s="33" t="s">
        <v>288</v>
      </c>
      <c r="F4" s="9">
        <f>ATAN(1/(F2*C3*1000*C5*0.000001))</f>
        <v>0.34707367613579787</v>
      </c>
      <c r="G4" s="2" t="s">
        <v>290</v>
      </c>
      <c r="H4" s="2" t="s">
        <v>10</v>
      </c>
      <c r="I4" s="3">
        <v>0</v>
      </c>
      <c r="J4" s="2" t="s">
        <v>19</v>
      </c>
    </row>
    <row r="5" spans="2:10" ht="15.75" thickBot="1">
      <c r="B5" s="2" t="s">
        <v>82</v>
      </c>
      <c r="C5" s="4">
        <v>2.2000000000000002</v>
      </c>
      <c r="D5" s="2" t="s">
        <v>83</v>
      </c>
      <c r="E5" s="17" t="s">
        <v>286</v>
      </c>
      <c r="F5" s="9">
        <f>ABS(F4)/F2</f>
        <v>2.7619245587043914E-4</v>
      </c>
      <c r="G5" s="2" t="s">
        <v>289</v>
      </c>
      <c r="H5" s="2" t="s">
        <v>31</v>
      </c>
      <c r="I5" s="4">
        <v>0</v>
      </c>
      <c r="J5" s="2" t="s">
        <v>32</v>
      </c>
    </row>
    <row r="6" spans="2:10">
      <c r="B6" s="2" t="s">
        <v>11</v>
      </c>
      <c r="C6" s="3">
        <f>I3/2</f>
        <v>2.5</v>
      </c>
      <c r="D6" s="2" t="s">
        <v>17</v>
      </c>
      <c r="I6" s="16"/>
    </row>
    <row r="7" spans="2:10">
      <c r="B7" s="2" t="s">
        <v>0</v>
      </c>
      <c r="C7" s="3">
        <f>(1+C4/C3)*C6</f>
        <v>252.5</v>
      </c>
      <c r="D7" s="2" t="s">
        <v>17</v>
      </c>
    </row>
    <row r="8" spans="2:10" ht="15.75" thickBot="1">
      <c r="B8" s="2" t="s">
        <v>1</v>
      </c>
      <c r="C8" s="3">
        <f>-C4/C3</f>
        <v>-100</v>
      </c>
      <c r="D8" s="2" t="s">
        <v>39</v>
      </c>
      <c r="H8" s="6" t="s">
        <v>33</v>
      </c>
    </row>
    <row r="9" spans="2:10" ht="15.75" thickBot="1">
      <c r="B9" s="2" t="s">
        <v>97</v>
      </c>
      <c r="C9" s="3">
        <f>1/(2*PI()*C12*C5*0.000001)</f>
        <v>361.71577975430756</v>
      </c>
      <c r="D9" s="2" t="s">
        <v>214</v>
      </c>
      <c r="H9" s="6" t="s">
        <v>29</v>
      </c>
      <c r="I9" s="4">
        <v>1</v>
      </c>
      <c r="J9" s="2" t="s">
        <v>17</v>
      </c>
    </row>
    <row r="10" spans="2:10" ht="15.75" thickBot="1">
      <c r="B10" s="2" t="s">
        <v>215</v>
      </c>
      <c r="C10" s="3">
        <f>-(C4*1000)/SQRT((($C$3*1000)^2)+($C$9^2))</f>
        <v>-94.037211935637345</v>
      </c>
      <c r="D10" s="2" t="s">
        <v>39</v>
      </c>
      <c r="H10" s="6" t="s">
        <v>34</v>
      </c>
      <c r="I10" s="3">
        <f>IF($C$8*I9/SQRT(1+($C$12/$C$14)^2)&gt;($I$3-$I$5),($I$3-$I$5),IF($C$8*I9/SQRT(1+($C$12/$C$14)^2)&lt;($I$4+$I$5),($I$4+$I$5),$C$8*I9/SQRT(1+($C$12/$C$14)^2)))</f>
        <v>0</v>
      </c>
      <c r="J10" s="2" t="s">
        <v>17</v>
      </c>
    </row>
    <row r="11" spans="2:10" ht="15.75" thickBot="1">
      <c r="B11" s="2" t="s">
        <v>25</v>
      </c>
      <c r="C11" s="4">
        <v>0.02</v>
      </c>
      <c r="D11" s="2" t="s">
        <v>38</v>
      </c>
    </row>
    <row r="12" spans="2:10" ht="15.75" thickBot="1">
      <c r="B12" s="2" t="s">
        <v>84</v>
      </c>
      <c r="C12" s="4">
        <v>200</v>
      </c>
      <c r="D12" s="2" t="s">
        <v>80</v>
      </c>
      <c r="H12" s="6" t="s">
        <v>103</v>
      </c>
    </row>
    <row r="13" spans="2:10">
      <c r="B13" s="2" t="s">
        <v>87</v>
      </c>
      <c r="C13" s="3">
        <f>1/C12</f>
        <v>5.0000000000000001E-3</v>
      </c>
      <c r="D13" s="2" t="s">
        <v>86</v>
      </c>
      <c r="H13" s="17" t="s">
        <v>104</v>
      </c>
      <c r="I13" s="3">
        <f>1000*(C4*1000)*(C5*0.000001)</f>
        <v>220</v>
      </c>
      <c r="J13" s="2" t="s">
        <v>105</v>
      </c>
    </row>
    <row r="14" spans="2:10" ht="15.75" thickBot="1">
      <c r="B14" s="2" t="s">
        <v>81</v>
      </c>
      <c r="C14" s="3">
        <f>1/(2*PI()*(C3*1000)*(C5*0.000001))</f>
        <v>72.343155950861515</v>
      </c>
      <c r="D14" s="2" t="s">
        <v>80</v>
      </c>
    </row>
    <row r="15" spans="2:10" ht="15.75" thickBot="1">
      <c r="B15" s="2" t="s">
        <v>89</v>
      </c>
      <c r="C15" s="4">
        <v>4</v>
      </c>
      <c r="D15" s="2" t="s">
        <v>90</v>
      </c>
    </row>
    <row r="16" spans="2:10">
      <c r="B16" s="2" t="s">
        <v>88</v>
      </c>
      <c r="C16" s="3">
        <f>C13*C15/25</f>
        <v>8.0000000000000004E-4</v>
      </c>
      <c r="D16" s="2" t="s">
        <v>86</v>
      </c>
    </row>
    <row r="17" spans="2:6">
      <c r="E17" s="6" t="s">
        <v>30</v>
      </c>
      <c r="F17" s="6"/>
    </row>
    <row r="18" spans="2:6">
      <c r="B18" s="7" t="s">
        <v>85</v>
      </c>
      <c r="C18" s="7" t="s">
        <v>7</v>
      </c>
      <c r="D18" s="7" t="s">
        <v>3</v>
      </c>
      <c r="E18" s="7" t="s">
        <v>3</v>
      </c>
      <c r="F18" s="28" t="s">
        <v>216</v>
      </c>
    </row>
    <row r="19" spans="2:6">
      <c r="B19" s="2">
        <v>0</v>
      </c>
      <c r="C19" s="2">
        <f t="shared" ref="C19:C44" si="0">$C$11*SIN($B19*$C$12*2*PI())</f>
        <v>0</v>
      </c>
      <c r="D19" s="2">
        <f>($I$3/2)+$C$8*$F$3*$C$11*SIN($F$2*B19+$F$4)</f>
        <v>1.8602696724163303</v>
      </c>
      <c r="E19" s="2">
        <f t="shared" ref="E19:E44" si="1">IF(D19&gt;($I$3-$I$5),($I$3-$I$5),IF(D19&lt;($I$4+$I$5),($I$4+$I$5),D19))</f>
        <v>1.8602696724163303</v>
      </c>
      <c r="F19" s="28">
        <f>C19*((-$C$4*1000)/SQRT(($C$3*1000)^2+$C$9^2))+$C$6</f>
        <v>2.5</v>
      </c>
    </row>
    <row r="20" spans="2:6">
      <c r="B20" s="2">
        <f t="shared" ref="B20:B44" si="2">B19+$C$16</f>
        <v>8.0000000000000004E-4</v>
      </c>
      <c r="C20" s="2">
        <f t="shared" si="0"/>
        <v>1.6886558510040301E-2</v>
      </c>
      <c r="D20" s="2">
        <f t="shared" ref="D20:D44" si="3">($I$3/2)+$C$8*$F$3*$C$11*SIN($F$2*B20+$F$4)</f>
        <v>0.66393744786647391</v>
      </c>
      <c r="E20" s="2">
        <f t="shared" si="1"/>
        <v>0.66393744786647391</v>
      </c>
      <c r="F20" s="28">
        <f t="shared" ref="F20:F44" si="4">C20*((-$C$4*1000)/SQRT(($C$3*1000)^2+$C$9^2))+$C$6</f>
        <v>0.91203511852779973</v>
      </c>
    </row>
    <row r="21" spans="2:6">
      <c r="B21" s="2">
        <f t="shared" si="2"/>
        <v>1.6000000000000001E-3</v>
      </c>
      <c r="C21" s="2">
        <f t="shared" si="0"/>
        <v>1.8096541049320389E-2</v>
      </c>
      <c r="D21" s="2">
        <f t="shared" si="3"/>
        <v>1.1721073022023416</v>
      </c>
      <c r="E21" s="2">
        <f t="shared" si="1"/>
        <v>1.1721073022023416</v>
      </c>
      <c r="F21" s="28">
        <f t="shared" si="4"/>
        <v>0.79825173404309768</v>
      </c>
    </row>
    <row r="22" spans="2:6">
      <c r="B22" s="2">
        <f t="shared" si="2"/>
        <v>2.4000000000000002E-3</v>
      </c>
      <c r="C22" s="2">
        <f t="shared" si="0"/>
        <v>2.5066646712860819E-3</v>
      </c>
      <c r="D22" s="2">
        <f t="shared" si="3"/>
        <v>2.9130215754596609</v>
      </c>
      <c r="E22" s="2">
        <f t="shared" si="1"/>
        <v>2.9130215754596609</v>
      </c>
      <c r="F22" s="28">
        <f t="shared" si="4"/>
        <v>2.2642802430546958</v>
      </c>
    </row>
    <row r="23" spans="2:6">
      <c r="B23" s="2">
        <f t="shared" si="2"/>
        <v>3.2000000000000002E-3</v>
      </c>
      <c r="C23" s="2">
        <f t="shared" si="0"/>
        <v>-1.5410264855515788E-2</v>
      </c>
      <c r="D23" s="2">
        <f t="shared" si="3"/>
        <v>4.2705087518691105</v>
      </c>
      <c r="E23" s="2">
        <f t="shared" si="1"/>
        <v>4.2705087518691105</v>
      </c>
      <c r="F23" s="28">
        <f t="shared" si="4"/>
        <v>3.949138342202442</v>
      </c>
    </row>
    <row r="24" spans="2:6">
      <c r="B24" s="2">
        <f t="shared" si="2"/>
        <v>4.0000000000000001E-3</v>
      </c>
      <c r="C24" s="2">
        <f t="shared" si="0"/>
        <v>-1.9021130325903073E-2</v>
      </c>
      <c r="D24" s="2">
        <f t="shared" si="3"/>
        <v>3.9843504845329174</v>
      </c>
      <c r="E24" s="2">
        <f t="shared" si="1"/>
        <v>3.9843504845329174</v>
      </c>
      <c r="F24" s="28">
        <f t="shared" si="4"/>
        <v>4.2886940637123256</v>
      </c>
    </row>
    <row r="25" spans="2:6">
      <c r="B25" s="2">
        <f t="shared" si="2"/>
        <v>4.8000000000000004E-3</v>
      </c>
      <c r="C25" s="2">
        <f t="shared" si="0"/>
        <v>-4.97379774329709E-3</v>
      </c>
      <c r="D25" s="2">
        <f t="shared" si="3"/>
        <v>2.3202007736364765</v>
      </c>
      <c r="E25" s="2">
        <f t="shared" si="1"/>
        <v>2.3202007736364765</v>
      </c>
      <c r="F25" s="28">
        <f t="shared" si="4"/>
        <v>2.9677220725114233</v>
      </c>
    </row>
    <row r="26" spans="2:6">
      <c r="B26" s="2">
        <f t="shared" si="2"/>
        <v>5.6000000000000008E-3</v>
      </c>
      <c r="C26" s="2">
        <f t="shared" si="0"/>
        <v>1.3690942118573786E-2</v>
      </c>
      <c r="D26" s="2">
        <f t="shared" si="3"/>
        <v>0.82296702906294317</v>
      </c>
      <c r="E26" s="2">
        <f t="shared" si="1"/>
        <v>0.82296702906294317</v>
      </c>
      <c r="F26" s="28">
        <f t="shared" si="4"/>
        <v>1.2125419743971331</v>
      </c>
    </row>
    <row r="27" spans="2:6">
      <c r="B27" s="2">
        <f t="shared" si="2"/>
        <v>6.4000000000000012E-3</v>
      </c>
      <c r="C27" s="2">
        <f t="shared" si="0"/>
        <v>1.9645745014573772E-2</v>
      </c>
      <c r="D27" s="2">
        <f t="shared" si="3"/>
        <v>0.88260082258090966</v>
      </c>
      <c r="E27" s="2">
        <f t="shared" si="1"/>
        <v>0.88260082258090966</v>
      </c>
      <c r="F27" s="28">
        <f t="shared" si="4"/>
        <v>0.65256891243103543</v>
      </c>
    </row>
    <row r="28" spans="2:6">
      <c r="B28" s="2">
        <f t="shared" si="2"/>
        <v>7.2000000000000015E-3</v>
      </c>
      <c r="C28" s="2">
        <f t="shared" si="0"/>
        <v>7.3624910536935267E-3</v>
      </c>
      <c r="D28" s="2">
        <f t="shared" si="3"/>
        <v>2.4437413360607838</v>
      </c>
      <c r="E28" s="2">
        <f t="shared" si="1"/>
        <v>2.4437413360607838</v>
      </c>
      <c r="F28" s="28">
        <f t="shared" si="4"/>
        <v>1.8076518684095879</v>
      </c>
    </row>
    <row r="29" spans="2:6">
      <c r="B29" s="2">
        <f t="shared" si="2"/>
        <v>8.0000000000000019E-3</v>
      </c>
      <c r="C29" s="2">
        <f t="shared" si="0"/>
        <v>-1.1755705045849486E-2</v>
      </c>
      <c r="D29" s="2">
        <f t="shared" si="3"/>
        <v>4.0571093782423908</v>
      </c>
      <c r="E29" s="2">
        <f t="shared" si="1"/>
        <v>4.0571093782423908</v>
      </c>
      <c r="F29" s="28">
        <f t="shared" si="4"/>
        <v>3.6054737268493895</v>
      </c>
    </row>
    <row r="30" spans="2:6">
      <c r="B30" s="2">
        <f t="shared" si="2"/>
        <v>8.8000000000000023E-3</v>
      </c>
      <c r="C30" s="2">
        <f t="shared" si="0"/>
        <v>-1.9960534568565426E-2</v>
      </c>
      <c r="D30" s="2">
        <f t="shared" si="3"/>
        <v>4.2249405190899312</v>
      </c>
      <c r="E30" s="2">
        <f t="shared" si="1"/>
        <v>4.2249405190899312</v>
      </c>
      <c r="F30" s="28">
        <f t="shared" si="4"/>
        <v>4.3770330195728029</v>
      </c>
    </row>
    <row r="31" spans="2:6">
      <c r="B31" s="2">
        <f t="shared" si="2"/>
        <v>9.6000000000000026E-3</v>
      </c>
      <c r="C31" s="2">
        <f t="shared" si="0"/>
        <v>-9.6350734820342329E-3</v>
      </c>
      <c r="D31" s="2">
        <f t="shared" si="3"/>
        <v>2.7914293215043355</v>
      </c>
      <c r="E31" s="2">
        <f t="shared" si="1"/>
        <v>2.7914293215043355</v>
      </c>
      <c r="F31" s="28">
        <f t="shared" si="4"/>
        <v>3.4060554470454925</v>
      </c>
    </row>
    <row r="32" spans="2:6">
      <c r="B32" s="2">
        <f t="shared" si="2"/>
        <v>1.0400000000000003E-2</v>
      </c>
      <c r="C32" s="2">
        <f t="shared" si="0"/>
        <v>9.6350734820343405E-3</v>
      </c>
      <c r="D32" s="2">
        <f t="shared" si="3"/>
        <v>1.0873707595192141</v>
      </c>
      <c r="E32" s="2">
        <f t="shared" si="1"/>
        <v>1.0873707595192141</v>
      </c>
      <c r="F32" s="28">
        <f t="shared" si="4"/>
        <v>1.5939445529544973</v>
      </c>
    </row>
    <row r="33" spans="2:16">
      <c r="B33" s="2">
        <f t="shared" si="2"/>
        <v>1.1200000000000003E-2</v>
      </c>
      <c r="C33" s="2">
        <f t="shared" si="0"/>
        <v>1.9960534568565436E-2</v>
      </c>
      <c r="D33" s="2">
        <f t="shared" si="3"/>
        <v>0.69472148165479686</v>
      </c>
      <c r="E33" s="2">
        <f t="shared" si="1"/>
        <v>0.69472148165479686</v>
      </c>
      <c r="F33" s="28">
        <f t="shared" si="4"/>
        <v>0.62296698042719645</v>
      </c>
    </row>
    <row r="34" spans="2:16">
      <c r="B34" s="2">
        <f t="shared" si="2"/>
        <v>1.2000000000000004E-2</v>
      </c>
      <c r="C34" s="2">
        <f t="shared" si="0"/>
        <v>1.1755705045849385E-2</v>
      </c>
      <c r="D34" s="2">
        <f t="shared" si="3"/>
        <v>1.9779960354221029</v>
      </c>
      <c r="E34" s="2">
        <f t="shared" si="1"/>
        <v>1.9779960354221029</v>
      </c>
      <c r="F34" s="28">
        <f t="shared" si="4"/>
        <v>1.3945262731506201</v>
      </c>
      <c r="P34" s="2" t="s">
        <v>278</v>
      </c>
    </row>
    <row r="35" spans="2:16">
      <c r="B35" s="2">
        <f t="shared" si="2"/>
        <v>1.2800000000000004E-2</v>
      </c>
      <c r="C35" s="2">
        <f t="shared" si="0"/>
        <v>-7.3624910536936403E-3</v>
      </c>
      <c r="D35" s="2">
        <f t="shared" si="3"/>
        <v>3.7458710957329915</v>
      </c>
      <c r="E35" s="2">
        <f t="shared" si="1"/>
        <v>3.7458710957329915</v>
      </c>
      <c r="F35" s="28">
        <f t="shared" si="4"/>
        <v>3.192348131590423</v>
      </c>
      <c r="P35" s="2" t="s">
        <v>277</v>
      </c>
    </row>
    <row r="36" spans="2:16">
      <c r="B36" s="2">
        <f t="shared" si="2"/>
        <v>1.3600000000000004E-2</v>
      </c>
      <c r="C36" s="2">
        <f t="shared" si="0"/>
        <v>-1.9645745014573796E-2</v>
      </c>
      <c r="D36" s="2">
        <f t="shared" si="3"/>
        <v>4.3571461969450596</v>
      </c>
      <c r="E36" s="2">
        <f t="shared" si="1"/>
        <v>4.3571461969450596</v>
      </c>
      <c r="F36" s="28">
        <f t="shared" si="4"/>
        <v>4.3474310875689666</v>
      </c>
      <c r="P36" s="2" t="s">
        <v>276</v>
      </c>
    </row>
    <row r="37" spans="2:16">
      <c r="B37" s="2">
        <f t="shared" si="2"/>
        <v>1.4400000000000005E-2</v>
      </c>
      <c r="C37" s="2">
        <f t="shared" si="0"/>
        <v>-1.3690942118573721E-2</v>
      </c>
      <c r="D37" s="2">
        <f t="shared" si="3"/>
        <v>3.2443462933000116</v>
      </c>
      <c r="E37" s="2">
        <f t="shared" si="1"/>
        <v>3.2443462933000116</v>
      </c>
      <c r="F37" s="28">
        <f t="shared" si="4"/>
        <v>3.7874580256028607</v>
      </c>
    </row>
    <row r="38" spans="2:16">
      <c r="B38" s="2">
        <f t="shared" si="2"/>
        <v>1.5200000000000005E-2</v>
      </c>
      <c r="C38" s="2">
        <f t="shared" si="0"/>
        <v>4.9737977432971914E-3</v>
      </c>
      <c r="D38" s="2">
        <f t="shared" si="3"/>
        <v>1.4405351804418267</v>
      </c>
      <c r="E38" s="2">
        <f t="shared" si="1"/>
        <v>1.4405351804418267</v>
      </c>
      <c r="F38" s="28">
        <f t="shared" si="4"/>
        <v>2.0322779274885674</v>
      </c>
      <c r="H38" s="6" t="s">
        <v>65</v>
      </c>
    </row>
    <row r="39" spans="2:16">
      <c r="B39" s="2">
        <f t="shared" si="2"/>
        <v>1.6000000000000004E-2</v>
      </c>
      <c r="C39" s="2">
        <f t="shared" si="0"/>
        <v>1.902113032590309E-2</v>
      </c>
      <c r="D39" s="2">
        <f t="shared" si="3"/>
        <v>0.62027442938627075</v>
      </c>
      <c r="E39" s="2">
        <f t="shared" si="1"/>
        <v>0.62027442938627075</v>
      </c>
      <c r="F39" s="28">
        <f t="shared" si="4"/>
        <v>0.71130593628767258</v>
      </c>
      <c r="H39" s="12" t="s">
        <v>64</v>
      </c>
      <c r="I39" s="12">
        <f>I3</f>
        <v>5</v>
      </c>
      <c r="J39" s="12" t="s">
        <v>17</v>
      </c>
      <c r="K39" s="13" t="str">
        <f>TRIM(H39)&amp;"   "&amp;IF(I39&gt;0,"+","")&amp;TRIM(I39)&amp;" "&amp;TRIM(J39)</f>
        <v>V+:   +5 V</v>
      </c>
    </row>
    <row r="40" spans="2:16">
      <c r="B40" s="2">
        <f t="shared" si="2"/>
        <v>1.6800000000000002E-2</v>
      </c>
      <c r="C40" s="2">
        <f t="shared" si="0"/>
        <v>1.5410264855515776E-2</v>
      </c>
      <c r="D40" s="2">
        <f t="shared" si="3"/>
        <v>1.5450501636741318</v>
      </c>
      <c r="E40" s="2">
        <f t="shared" si="1"/>
        <v>1.5450501636741318</v>
      </c>
      <c r="F40" s="28">
        <f t="shared" si="4"/>
        <v>1.0508616577975591</v>
      </c>
      <c r="H40" s="12" t="s">
        <v>66</v>
      </c>
      <c r="I40" s="12">
        <f>I4</f>
        <v>0</v>
      </c>
      <c r="J40" s="12" t="s">
        <v>17</v>
      </c>
      <c r="K40" s="13" t="str">
        <f t="shared" ref="K40:K41" si="5">TRIM(H40)&amp;"   "&amp;IF(I40&gt;0,"+","")&amp;TRIM(I40)&amp;" "&amp;TRIM(J40)</f>
        <v>V-:   0 V</v>
      </c>
    </row>
    <row r="41" spans="2:16">
      <c r="B41" s="2">
        <f t="shared" si="2"/>
        <v>1.7600000000000001E-2</v>
      </c>
      <c r="C41" s="2">
        <f t="shared" si="0"/>
        <v>-2.5066646712860537E-3</v>
      </c>
      <c r="D41" s="2">
        <f t="shared" si="3"/>
        <v>3.3563501502853108</v>
      </c>
      <c r="E41" s="2">
        <f t="shared" si="1"/>
        <v>3.3563501502853108</v>
      </c>
      <c r="F41" s="28">
        <f t="shared" si="4"/>
        <v>2.7357197569453016</v>
      </c>
      <c r="H41" s="12" t="s">
        <v>29</v>
      </c>
      <c r="I41" s="12">
        <f>I9</f>
        <v>1</v>
      </c>
      <c r="J41" s="12" t="s">
        <v>17</v>
      </c>
      <c r="K41" s="13" t="str">
        <f t="shared" si="5"/>
        <v>Vin:   +1 V</v>
      </c>
    </row>
    <row r="42" spans="2:16">
      <c r="B42" s="2">
        <f t="shared" si="2"/>
        <v>1.84E-2</v>
      </c>
      <c r="C42" s="2">
        <f t="shared" si="0"/>
        <v>-1.8096541049320358E-2</v>
      </c>
      <c r="D42" s="2">
        <f t="shared" si="3"/>
        <v>4.3726605491401918</v>
      </c>
      <c r="E42" s="2">
        <f t="shared" si="1"/>
        <v>4.3726605491401918</v>
      </c>
      <c r="F42" s="28">
        <f t="shared" si="4"/>
        <v>4.2017482659568994</v>
      </c>
      <c r="H42" s="12" t="s">
        <v>67</v>
      </c>
      <c r="I42" s="12">
        <f>C3</f>
        <v>1</v>
      </c>
      <c r="J42" s="12" t="s">
        <v>16</v>
      </c>
      <c r="K42" s="13" t="str">
        <f>TRIM(H42)&amp;"   "&amp;TRIM(I42)&amp;" "&amp;TRIM(J42)</f>
        <v>R1:   1 K</v>
      </c>
    </row>
    <row r="43" spans="2:16">
      <c r="B43" s="2">
        <f t="shared" si="2"/>
        <v>1.9199999999999998E-2</v>
      </c>
      <c r="C43" s="2">
        <f t="shared" si="0"/>
        <v>-1.6886558510040325E-2</v>
      </c>
      <c r="D43" s="2">
        <f t="shared" si="3"/>
        <v>3.6504932499734899</v>
      </c>
      <c r="E43" s="2">
        <f t="shared" si="1"/>
        <v>3.6504932499734899</v>
      </c>
      <c r="F43" s="28">
        <f t="shared" si="4"/>
        <v>4.0879648814722023</v>
      </c>
      <c r="H43" s="12" t="s">
        <v>68</v>
      </c>
      <c r="I43" s="12">
        <f>C4</f>
        <v>100</v>
      </c>
      <c r="J43" s="12" t="s">
        <v>16</v>
      </c>
      <c r="K43" s="13" t="str">
        <f>TRIM(H43)&amp;"   "&amp;TRIM(I43)&amp;" "&amp;TRIM(J43)</f>
        <v>RF:   100 K</v>
      </c>
    </row>
    <row r="44" spans="2:16">
      <c r="B44" s="2">
        <f t="shared" si="2"/>
        <v>1.9999999999999997E-2</v>
      </c>
      <c r="C44" s="2">
        <f t="shared" si="0"/>
        <v>-9.0656648854547935E-17</v>
      </c>
      <c r="D44" s="2">
        <f t="shared" si="3"/>
        <v>1.8602696724163414</v>
      </c>
      <c r="E44" s="2">
        <f t="shared" si="1"/>
        <v>1.8602696724163414</v>
      </c>
      <c r="F44" s="28">
        <f t="shared" si="4"/>
        <v>2.5000000000000084</v>
      </c>
      <c r="H44" s="12" t="s">
        <v>100</v>
      </c>
      <c r="I44" s="12">
        <f>C5</f>
        <v>2.2000000000000002</v>
      </c>
      <c r="J44" s="12" t="s">
        <v>83</v>
      </c>
      <c r="K44" s="13" t="str">
        <f>TRIM(H44)&amp;"   "&amp;TRIM(I44)&amp;" "&amp;TRIM(J44)</f>
        <v>C1:   2.2 uF</v>
      </c>
    </row>
    <row r="45" spans="2:16">
      <c r="H45" s="12" t="s">
        <v>101</v>
      </c>
      <c r="I45" s="12">
        <f>ROUND(C12,0)</f>
        <v>200</v>
      </c>
      <c r="J45" s="12" t="s">
        <v>80</v>
      </c>
      <c r="K45" s="13" t="str">
        <f>TRIM(H45)&amp;"   "&amp;TRIM(I45)&amp;" "&amp;TRIM(J45)</f>
        <v>f,signal:   200 Hz</v>
      </c>
    </row>
    <row r="46" spans="2:16">
      <c r="B46" s="6" t="s">
        <v>92</v>
      </c>
    </row>
    <row r="47" spans="2:16" ht="15.75">
      <c r="B47" s="14"/>
      <c r="C47" s="2" t="s">
        <v>95</v>
      </c>
    </row>
    <row r="48" spans="2:16">
      <c r="B48" s="7" t="s">
        <v>93</v>
      </c>
      <c r="C48" s="7" t="s">
        <v>94</v>
      </c>
    </row>
    <row r="49" spans="2:16">
      <c r="B49" s="2">
        <v>1</v>
      </c>
      <c r="C49" s="2">
        <f t="shared" ref="C49:C80" si="6">20*LOG(-$C$8/SQRT(1+($B49/$C$14)^2))</f>
        <v>39.999170248738338</v>
      </c>
    </row>
    <row r="50" spans="2:16">
      <c r="B50" s="2">
        <v>2</v>
      </c>
      <c r="C50" s="2">
        <f t="shared" si="6"/>
        <v>39.996681945709696</v>
      </c>
    </row>
    <row r="51" spans="2:16">
      <c r="B51" s="2">
        <v>3</v>
      </c>
      <c r="C51" s="2">
        <f t="shared" si="6"/>
        <v>39.992537939554708</v>
      </c>
    </row>
    <row r="52" spans="2:16">
      <c r="B52" s="2">
        <v>4</v>
      </c>
      <c r="C52" s="2">
        <f t="shared" si="6"/>
        <v>39.986742965942284</v>
      </c>
    </row>
    <row r="53" spans="2:16">
      <c r="B53" s="2">
        <v>5</v>
      </c>
      <c r="C53" s="2">
        <f t="shared" si="6"/>
        <v>39.979303629572662</v>
      </c>
    </row>
    <row r="54" spans="2:16">
      <c r="B54" s="2">
        <v>6</v>
      </c>
      <c r="C54" s="2">
        <f t="shared" si="6"/>
        <v>39.970228379182707</v>
      </c>
    </row>
    <row r="55" spans="2:16">
      <c r="B55" s="2">
        <v>7</v>
      </c>
      <c r="C55" s="2">
        <f t="shared" si="6"/>
        <v>39.959527475751329</v>
      </c>
    </row>
    <row r="56" spans="2:16">
      <c r="B56" s="2">
        <v>8</v>
      </c>
      <c r="C56" s="2">
        <f t="shared" si="6"/>
        <v>39.947212954154679</v>
      </c>
      <c r="P56" s="2" t="s">
        <v>292</v>
      </c>
    </row>
    <row r="57" spans="2:16">
      <c r="B57" s="2">
        <v>9</v>
      </c>
      <c r="C57" s="2">
        <f t="shared" si="6"/>
        <v>39.933298578569271</v>
      </c>
      <c r="P57" s="2" t="s">
        <v>294</v>
      </c>
    </row>
    <row r="58" spans="2:16">
      <c r="B58" s="2">
        <v>10</v>
      </c>
      <c r="C58" s="2">
        <f t="shared" si="6"/>
        <v>39.917799791965983</v>
      </c>
    </row>
    <row r="59" spans="2:16">
      <c r="B59" s="2">
        <v>20</v>
      </c>
      <c r="C59" s="2">
        <f t="shared" si="6"/>
        <v>39.680141196529661</v>
      </c>
    </row>
    <row r="60" spans="2:16">
      <c r="B60" s="2">
        <v>30</v>
      </c>
      <c r="C60" s="2">
        <f t="shared" si="6"/>
        <v>39.310842511356746</v>
      </c>
    </row>
    <row r="61" spans="2:16">
      <c r="B61" s="2">
        <v>40</v>
      </c>
      <c r="C61" s="2">
        <f t="shared" si="6"/>
        <v>38.84149655636709</v>
      </c>
    </row>
    <row r="62" spans="2:16">
      <c r="B62" s="2">
        <v>50</v>
      </c>
      <c r="C62" s="2">
        <f t="shared" si="6"/>
        <v>38.30417002778325</v>
      </c>
    </row>
    <row r="63" spans="2:16">
      <c r="B63" s="2">
        <v>60</v>
      </c>
      <c r="C63" s="2">
        <f t="shared" si="6"/>
        <v>37.726605045347355</v>
      </c>
    </row>
    <row r="64" spans="2:16">
      <c r="B64" s="2">
        <v>70</v>
      </c>
      <c r="C64" s="2">
        <f t="shared" si="6"/>
        <v>37.130340492505177</v>
      </c>
    </row>
    <row r="65" spans="2:3">
      <c r="B65" s="2">
        <v>80</v>
      </c>
      <c r="C65" s="2">
        <f t="shared" si="6"/>
        <v>36.530833049092898</v>
      </c>
    </row>
    <row r="66" spans="2:3">
      <c r="B66" s="2">
        <v>90</v>
      </c>
      <c r="C66" s="2">
        <f t="shared" si="6"/>
        <v>35.938496871559927</v>
      </c>
    </row>
    <row r="67" spans="2:3">
      <c r="B67" s="2">
        <v>100</v>
      </c>
      <c r="C67" s="2">
        <f t="shared" si="6"/>
        <v>35.359942863713663</v>
      </c>
    </row>
    <row r="68" spans="2:3">
      <c r="B68" s="2">
        <v>200</v>
      </c>
      <c r="C68" s="2">
        <f t="shared" si="6"/>
        <v>30.633343992198029</v>
      </c>
    </row>
    <row r="69" spans="2:3">
      <c r="B69" s="2">
        <v>300</v>
      </c>
      <c r="C69" s="2">
        <f t="shared" si="6"/>
        <v>27.400050090226035</v>
      </c>
    </row>
    <row r="70" spans="2:3">
      <c r="B70" s="2">
        <v>400</v>
      </c>
      <c r="C70" s="2">
        <f t="shared" si="6"/>
        <v>25.00696714724841</v>
      </c>
    </row>
    <row r="71" spans="2:3">
      <c r="B71" s="2">
        <v>500</v>
      </c>
      <c r="C71" s="2">
        <f t="shared" si="6"/>
        <v>23.118571708599177</v>
      </c>
    </row>
    <row r="72" spans="2:3">
      <c r="B72" s="2">
        <v>600</v>
      </c>
      <c r="C72" s="2">
        <f t="shared" si="6"/>
        <v>21.562242582247659</v>
      </c>
    </row>
    <row r="73" spans="2:3">
      <c r="B73" s="2">
        <v>700</v>
      </c>
      <c r="C73" s="2">
        <f t="shared" si="6"/>
        <v>20.239848585957816</v>
      </c>
    </row>
    <row r="74" spans="2:3">
      <c r="B74" s="2">
        <v>800</v>
      </c>
      <c r="C74" s="2">
        <f t="shared" si="6"/>
        <v>19.090779724378923</v>
      </c>
    </row>
    <row r="75" spans="2:3">
      <c r="B75" s="2">
        <v>900</v>
      </c>
      <c r="C75" s="2">
        <f t="shared" si="6"/>
        <v>18.075128668584338</v>
      </c>
    </row>
    <row r="76" spans="2:3">
      <c r="B76" s="2">
        <v>1000</v>
      </c>
      <c r="C76" s="2">
        <f t="shared" si="6"/>
        <v>17.165279344405185</v>
      </c>
    </row>
    <row r="77" spans="2:3">
      <c r="B77" s="2">
        <v>2000</v>
      </c>
      <c r="C77" s="2">
        <f t="shared" si="6"/>
        <v>11.161670581742626</v>
      </c>
    </row>
    <row r="78" spans="2:3">
      <c r="B78" s="2">
        <v>3000</v>
      </c>
      <c r="C78" s="2">
        <f t="shared" si="6"/>
        <v>7.6429992180348014</v>
      </c>
    </row>
    <row r="79" spans="2:3">
      <c r="B79" s="2">
        <v>4000</v>
      </c>
      <c r="C79" s="2">
        <f t="shared" si="6"/>
        <v>5.1453288632624803</v>
      </c>
    </row>
    <row r="80" spans="2:3">
      <c r="B80" s="2">
        <v>5000</v>
      </c>
      <c r="C80" s="2">
        <f t="shared" si="6"/>
        <v>3.2076398671576607</v>
      </c>
    </row>
    <row r="81" spans="2:3">
      <c r="B81" s="2">
        <v>6000</v>
      </c>
      <c r="C81" s="2">
        <f t="shared" ref="C81:C103" si="7">20*LOG(-$C$8/SQRT(1+($B81/$C$14)^2))</f>
        <v>1.6242926951193302</v>
      </c>
    </row>
    <row r="82" spans="2:3">
      <c r="B82" s="2">
        <v>7000</v>
      </c>
      <c r="C82" s="2">
        <f t="shared" si="7"/>
        <v>0.28552438492694115</v>
      </c>
    </row>
    <row r="83" spans="2:3">
      <c r="B83" s="2">
        <v>8000</v>
      </c>
      <c r="C83" s="2">
        <f t="shared" si="7"/>
        <v>-0.8742058486381481</v>
      </c>
    </row>
    <row r="84" spans="2:3">
      <c r="B84" s="2">
        <v>9000</v>
      </c>
      <c r="C84" s="2">
        <f t="shared" si="7"/>
        <v>-1.8971817675455833</v>
      </c>
    </row>
    <row r="85" spans="2:3">
      <c r="B85" s="2">
        <v>10000</v>
      </c>
      <c r="C85" s="2">
        <f t="shared" si="7"/>
        <v>-2.8122782670750954</v>
      </c>
    </row>
    <row r="86" spans="2:3">
      <c r="B86" s="2">
        <v>20000</v>
      </c>
      <c r="C86" s="2">
        <f t="shared" si="7"/>
        <v>-8.8327077188683489</v>
      </c>
    </row>
    <row r="87" spans="2:3">
      <c r="B87" s="2">
        <v>30000</v>
      </c>
      <c r="C87" s="2">
        <f t="shared" si="7"/>
        <v>-12.354501332305812</v>
      </c>
    </row>
    <row r="88" spans="2:3">
      <c r="B88" s="2">
        <v>40000</v>
      </c>
      <c r="C88" s="2">
        <f t="shared" si="7"/>
        <v>-14.853265015730948</v>
      </c>
    </row>
    <row r="89" spans="2:3">
      <c r="B89" s="2">
        <v>50000</v>
      </c>
      <c r="C89" s="2">
        <f t="shared" si="7"/>
        <v>-16.791460161893927</v>
      </c>
    </row>
    <row r="90" spans="2:3">
      <c r="B90" s="2">
        <v>60000</v>
      </c>
      <c r="C90" s="2">
        <f t="shared" si="7"/>
        <v>-18.375082304869601</v>
      </c>
    </row>
    <row r="91" spans="2:3">
      <c r="B91" s="2">
        <v>70000</v>
      </c>
      <c r="C91" s="2">
        <f t="shared" si="7"/>
        <v>-19.714016422448598</v>
      </c>
    </row>
    <row r="92" spans="2:3">
      <c r="B92" s="2">
        <v>80000</v>
      </c>
      <c r="C92" s="2">
        <f t="shared" si="7"/>
        <v>-20.873854274840973</v>
      </c>
    </row>
    <row r="93" spans="2:3">
      <c r="B93" s="2">
        <v>90000</v>
      </c>
      <c r="C93" s="2">
        <f t="shared" si="7"/>
        <v>-21.896903978434192</v>
      </c>
    </row>
    <row r="94" spans="2:3">
      <c r="B94" s="2">
        <v>100000</v>
      </c>
      <c r="C94" s="2">
        <f t="shared" si="7"/>
        <v>-22.812053256499993</v>
      </c>
    </row>
    <row r="95" spans="2:3">
      <c r="B95" s="2">
        <v>200000</v>
      </c>
      <c r="C95" s="2">
        <f t="shared" si="7"/>
        <v>-28.832651465109556</v>
      </c>
    </row>
    <row r="96" spans="2:3">
      <c r="B96" s="2">
        <v>300000</v>
      </c>
      <c r="C96" s="2">
        <f t="shared" si="7"/>
        <v>-32.354476330543463</v>
      </c>
    </row>
    <row r="97" spans="2:3">
      <c r="B97" s="2">
        <v>400000</v>
      </c>
      <c r="C97" s="2">
        <f t="shared" si="7"/>
        <v>-34.853250952221558</v>
      </c>
    </row>
    <row r="98" spans="2:3">
      <c r="B98" s="2">
        <v>500000</v>
      </c>
      <c r="C98" s="2">
        <f t="shared" si="7"/>
        <v>-36.791451161242563</v>
      </c>
    </row>
    <row r="99" spans="2:3">
      <c r="B99" s="2">
        <v>600000</v>
      </c>
      <c r="C99" s="2">
        <f t="shared" si="7"/>
        <v>-38.375076054415246</v>
      </c>
    </row>
    <row r="100" spans="2:3">
      <c r="B100" s="2">
        <v>700000</v>
      </c>
      <c r="C100" s="2">
        <f t="shared" si="7"/>
        <v>-39.714011830277158</v>
      </c>
    </row>
    <row r="101" spans="2:3">
      <c r="B101" s="2">
        <v>800000</v>
      </c>
      <c r="C101" s="2">
        <f t="shared" si="7"/>
        <v>-40.873850758959271</v>
      </c>
    </row>
    <row r="102" spans="2:3">
      <c r="B102" s="2">
        <v>900000</v>
      </c>
      <c r="C102" s="2">
        <f t="shared" si="7"/>
        <v>-41.896901200453343</v>
      </c>
    </row>
    <row r="103" spans="2:3">
      <c r="B103" s="2">
        <v>1000000</v>
      </c>
      <c r="C103" s="2">
        <f t="shared" si="7"/>
        <v>-42.812051006335366</v>
      </c>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FE25A-C3E3-429A-9F18-6F2BBE0B94E9}">
  <sheetPr codeName="Sheet8"/>
  <dimension ref="B1:J35"/>
  <sheetViews>
    <sheetView zoomScale="85" zoomScaleNormal="85"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45</v>
      </c>
    </row>
    <row r="2" spans="2:9" ht="15.75" thickBot="1">
      <c r="B2" s="2" t="s">
        <v>76</v>
      </c>
      <c r="G2" s="6" t="s">
        <v>36</v>
      </c>
    </row>
    <row r="3" spans="2:9" ht="15.75" thickBot="1">
      <c r="B3" s="2" t="s">
        <v>12</v>
      </c>
      <c r="C3" s="4">
        <v>1</v>
      </c>
      <c r="D3" s="2" t="s">
        <v>16</v>
      </c>
      <c r="G3" s="2" t="s">
        <v>9</v>
      </c>
      <c r="H3" s="4">
        <v>5</v>
      </c>
      <c r="I3" s="2" t="s">
        <v>18</v>
      </c>
    </row>
    <row r="4" spans="2:9" ht="15.75" thickBot="1">
      <c r="B4" s="2" t="s">
        <v>15</v>
      </c>
      <c r="C4" s="4">
        <v>7</v>
      </c>
      <c r="D4" s="2" t="s">
        <v>16</v>
      </c>
      <c r="G4" s="2" t="s">
        <v>10</v>
      </c>
      <c r="H4" s="5">
        <v>0</v>
      </c>
      <c r="I4" s="2" t="s">
        <v>19</v>
      </c>
    </row>
    <row r="5" spans="2:9" ht="15.75" thickBot="1">
      <c r="B5" s="2" t="s">
        <v>0</v>
      </c>
      <c r="C5" s="3">
        <v>0</v>
      </c>
      <c r="D5" s="2" t="s">
        <v>17</v>
      </c>
      <c r="G5" s="2" t="s">
        <v>31</v>
      </c>
      <c r="H5" s="4">
        <v>1.2</v>
      </c>
      <c r="I5" s="2" t="s">
        <v>32</v>
      </c>
    </row>
    <row r="6" spans="2:9" ht="15.75" thickBot="1">
      <c r="B6" s="2" t="s">
        <v>1</v>
      </c>
      <c r="C6" s="3">
        <f>1+C4/C3</f>
        <v>8</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0.6</v>
      </c>
      <c r="I9" s="2" t="s">
        <v>17</v>
      </c>
    </row>
    <row r="10" spans="2:9">
      <c r="B10" s="2">
        <v>0</v>
      </c>
      <c r="C10" s="2">
        <f t="shared" ref="C10:C35" si="0">$C$7*SIN($B10)</f>
        <v>0</v>
      </c>
      <c r="D10" s="2">
        <f>$C$6*C10</f>
        <v>0</v>
      </c>
      <c r="E10" s="2">
        <f t="shared" ref="E10:E35" si="1">IF(D10&gt;($H$3-$H$5),($H$3-$H$5),IF(D10&lt;($H$4+$H$5),($H$4+$H$5),D10))</f>
        <v>1.2</v>
      </c>
      <c r="G10" s="6" t="s">
        <v>34</v>
      </c>
      <c r="H10" s="3">
        <f>IF(H9*C6&gt;($H$3-$H$5),($H$3-$H$5),IF(H9*C6&lt;($H$4+$H$5),($H$4+$H$5),H9*C6))</f>
        <v>3.8</v>
      </c>
      <c r="I10" s="2" t="s">
        <v>17</v>
      </c>
    </row>
    <row r="11" spans="2:9">
      <c r="B11" s="2">
        <v>0.1</v>
      </c>
      <c r="C11" s="2">
        <f t="shared" si="0"/>
        <v>9.9833416646828155E-2</v>
      </c>
      <c r="D11" s="2">
        <f t="shared" ref="D11:D35" si="2">$C$6*C11</f>
        <v>0.79866733317462524</v>
      </c>
      <c r="E11" s="2">
        <f t="shared" si="1"/>
        <v>1.2</v>
      </c>
    </row>
    <row r="12" spans="2:9">
      <c r="B12" s="2">
        <v>0.2</v>
      </c>
      <c r="C12" s="2">
        <f t="shared" si="0"/>
        <v>0.19866933079506122</v>
      </c>
      <c r="D12" s="2">
        <f t="shared" si="2"/>
        <v>1.5893546463604897</v>
      </c>
      <c r="E12" s="2">
        <f t="shared" si="1"/>
        <v>1.5893546463604897</v>
      </c>
    </row>
    <row r="13" spans="2:9">
      <c r="B13" s="2">
        <v>1.2</v>
      </c>
      <c r="C13" s="2">
        <f t="shared" si="0"/>
        <v>0.93203908596722629</v>
      </c>
      <c r="D13" s="2">
        <f t="shared" si="2"/>
        <v>7.4563126877378103</v>
      </c>
      <c r="E13" s="2">
        <f t="shared" si="1"/>
        <v>3.8</v>
      </c>
    </row>
    <row r="14" spans="2:9">
      <c r="B14" s="2">
        <v>2.2000000000000002</v>
      </c>
      <c r="C14" s="2">
        <f t="shared" si="0"/>
        <v>0.80849640381959009</v>
      </c>
      <c r="D14" s="2">
        <f t="shared" si="2"/>
        <v>6.4679712305567207</v>
      </c>
      <c r="E14" s="2">
        <f t="shared" si="1"/>
        <v>3.8</v>
      </c>
    </row>
    <row r="15" spans="2:9">
      <c r="B15" s="2">
        <v>3.2</v>
      </c>
      <c r="C15" s="2">
        <f t="shared" si="0"/>
        <v>-5.8374143427580086E-2</v>
      </c>
      <c r="D15" s="2">
        <f t="shared" si="2"/>
        <v>-0.46699314742064069</v>
      </c>
      <c r="E15" s="2">
        <f t="shared" si="1"/>
        <v>1.2</v>
      </c>
    </row>
    <row r="16" spans="2:9">
      <c r="B16" s="2">
        <v>4.2</v>
      </c>
      <c r="C16" s="2">
        <f t="shared" si="0"/>
        <v>-0.87157577241358819</v>
      </c>
      <c r="D16" s="2">
        <f t="shared" si="2"/>
        <v>-6.9726061793087055</v>
      </c>
      <c r="E16" s="2">
        <f t="shared" si="1"/>
        <v>1.2</v>
      </c>
    </row>
    <row r="17" spans="2:10">
      <c r="B17" s="2">
        <v>5.2</v>
      </c>
      <c r="C17" s="2">
        <f t="shared" si="0"/>
        <v>-0.88345465572015314</v>
      </c>
      <c r="D17" s="2">
        <f t="shared" si="2"/>
        <v>-7.0676372457612251</v>
      </c>
      <c r="E17" s="2">
        <f t="shared" si="1"/>
        <v>1.2</v>
      </c>
    </row>
    <row r="18" spans="2:10">
      <c r="B18" s="2">
        <v>6.2</v>
      </c>
      <c r="C18" s="2">
        <f t="shared" si="0"/>
        <v>-8.3089402817496397E-2</v>
      </c>
      <c r="D18" s="2">
        <f t="shared" si="2"/>
        <v>-0.66471522253997117</v>
      </c>
      <c r="E18" s="2">
        <f t="shared" si="1"/>
        <v>1.2</v>
      </c>
    </row>
    <row r="19" spans="2:10">
      <c r="B19" s="2">
        <v>7.2</v>
      </c>
      <c r="C19" s="2">
        <f t="shared" si="0"/>
        <v>0.79366786384915311</v>
      </c>
      <c r="D19" s="2">
        <f t="shared" si="2"/>
        <v>6.3493429107932249</v>
      </c>
      <c r="E19" s="2">
        <f t="shared" si="1"/>
        <v>3.8</v>
      </c>
    </row>
    <row r="20" spans="2:10">
      <c r="B20" s="2">
        <v>8.1999999999999993</v>
      </c>
      <c r="C20" s="2">
        <f t="shared" si="0"/>
        <v>0.94073055667977312</v>
      </c>
      <c r="D20" s="2">
        <f t="shared" si="2"/>
        <v>7.525844453438185</v>
      </c>
      <c r="E20" s="2">
        <f t="shared" si="1"/>
        <v>3.8</v>
      </c>
    </row>
    <row r="21" spans="2:10">
      <c r="B21" s="2">
        <v>9.1999999999999993</v>
      </c>
      <c r="C21" s="2">
        <f t="shared" si="0"/>
        <v>0.22288991410024764</v>
      </c>
      <c r="D21" s="2">
        <f t="shared" si="2"/>
        <v>1.7831193128019811</v>
      </c>
      <c r="E21" s="2">
        <f t="shared" si="1"/>
        <v>1.7831193128019811</v>
      </c>
    </row>
    <row r="22" spans="2:10">
      <c r="B22" s="2">
        <v>10.199999999999999</v>
      </c>
      <c r="C22" s="2">
        <f t="shared" si="0"/>
        <v>-0.69987468759354232</v>
      </c>
      <c r="D22" s="2">
        <f t="shared" si="2"/>
        <v>-5.5989975007483386</v>
      </c>
      <c r="E22" s="2">
        <f t="shared" si="1"/>
        <v>1.2</v>
      </c>
    </row>
    <row r="23" spans="2:10">
      <c r="B23" s="2">
        <v>11.2</v>
      </c>
      <c r="C23" s="2">
        <f t="shared" si="0"/>
        <v>-0.9791777291513174</v>
      </c>
      <c r="D23" s="2">
        <f t="shared" si="2"/>
        <v>-7.8334218332105392</v>
      </c>
      <c r="E23" s="2">
        <f t="shared" si="1"/>
        <v>1.2</v>
      </c>
    </row>
    <row r="24" spans="2:10">
      <c r="B24" s="2">
        <v>12.2</v>
      </c>
      <c r="C24" s="2">
        <f t="shared" si="0"/>
        <v>-0.35822928223682871</v>
      </c>
      <c r="D24" s="2">
        <f t="shared" si="2"/>
        <v>-2.8658342578946296</v>
      </c>
      <c r="E24" s="2">
        <f t="shared" si="1"/>
        <v>1.2</v>
      </c>
    </row>
    <row r="25" spans="2:10">
      <c r="B25" s="2">
        <v>13.2</v>
      </c>
      <c r="C25" s="2">
        <f t="shared" si="0"/>
        <v>0.59207351470722303</v>
      </c>
      <c r="D25" s="2">
        <f t="shared" si="2"/>
        <v>4.7365881176577842</v>
      </c>
      <c r="E25" s="2">
        <f t="shared" si="1"/>
        <v>3.8</v>
      </c>
    </row>
    <row r="26" spans="2:10">
      <c r="B26" s="2">
        <v>14.2</v>
      </c>
      <c r="C26" s="2">
        <f t="shared" si="0"/>
        <v>0.99802665271636171</v>
      </c>
      <c r="D26" s="2">
        <f t="shared" si="2"/>
        <v>7.9842132217308937</v>
      </c>
      <c r="E26" s="2">
        <f t="shared" si="1"/>
        <v>3.8</v>
      </c>
    </row>
    <row r="27" spans="2:10">
      <c r="B27" s="2">
        <v>15.2</v>
      </c>
      <c r="C27" s="2">
        <f t="shared" si="0"/>
        <v>0.48639868885379967</v>
      </c>
      <c r="D27" s="2">
        <f t="shared" si="2"/>
        <v>3.8911895108303973</v>
      </c>
      <c r="E27" s="2">
        <f t="shared" si="1"/>
        <v>3.8</v>
      </c>
    </row>
    <row r="28" spans="2:10">
      <c r="B28" s="2">
        <v>16.2</v>
      </c>
      <c r="C28" s="2">
        <f t="shared" si="0"/>
        <v>-0.47242198639846616</v>
      </c>
      <c r="D28" s="2">
        <f t="shared" si="2"/>
        <v>-3.7793758911877293</v>
      </c>
      <c r="E28" s="2">
        <f t="shared" si="1"/>
        <v>1.2</v>
      </c>
    </row>
    <row r="29" spans="2:10">
      <c r="B29" s="2">
        <v>17.2</v>
      </c>
      <c r="C29" s="2">
        <f t="shared" si="0"/>
        <v>-0.99690006604159609</v>
      </c>
      <c r="D29" s="2">
        <f t="shared" si="2"/>
        <v>-7.9752005283327687</v>
      </c>
      <c r="E29" s="2">
        <f t="shared" si="1"/>
        <v>1.2</v>
      </c>
      <c r="G29" s="6" t="s">
        <v>65</v>
      </c>
    </row>
    <row r="30" spans="2:10">
      <c r="B30" s="2">
        <v>18.2</v>
      </c>
      <c r="C30" s="2">
        <f t="shared" si="0"/>
        <v>-0.60483282240628411</v>
      </c>
      <c r="D30" s="2">
        <f t="shared" si="2"/>
        <v>-4.8386625792502729</v>
      </c>
      <c r="E30" s="2">
        <f t="shared" si="1"/>
        <v>1.2</v>
      </c>
      <c r="G30" s="12" t="s">
        <v>64</v>
      </c>
      <c r="H30" s="12">
        <f>H3</f>
        <v>5</v>
      </c>
      <c r="I30" s="12" t="s">
        <v>17</v>
      </c>
      <c r="J30" s="13" t="str">
        <f>TRIM(G30)&amp;"   "&amp;IF(H30&gt;0,"+","")&amp;TRIM(H30)&amp;" "&amp;TRIM(I30)</f>
        <v>V+:   +5 V</v>
      </c>
    </row>
    <row r="31" spans="2:10">
      <c r="B31" s="2">
        <v>19.2</v>
      </c>
      <c r="C31" s="2">
        <f t="shared" si="0"/>
        <v>0.34331492881989539</v>
      </c>
      <c r="D31" s="2">
        <f t="shared" si="2"/>
        <v>2.7465194305591631</v>
      </c>
      <c r="E31" s="2">
        <f t="shared" si="1"/>
        <v>2.7465194305591631</v>
      </c>
      <c r="G31" s="12" t="s">
        <v>66</v>
      </c>
      <c r="H31" s="12">
        <f>H4</f>
        <v>0</v>
      </c>
      <c r="I31" s="12" t="s">
        <v>17</v>
      </c>
      <c r="J31" s="13" t="str">
        <f t="shared" ref="J31:J32" si="3">TRIM(G31)&amp;"   "&amp;IF(H31&gt;0,"+","")&amp;TRIM(H31)&amp;" "&amp;TRIM(I31)</f>
        <v>V-:   0 V</v>
      </c>
    </row>
    <row r="32" spans="2:10">
      <c r="B32" s="2">
        <v>20.2</v>
      </c>
      <c r="C32" s="2">
        <f t="shared" si="0"/>
        <v>0.97582051776697554</v>
      </c>
      <c r="D32" s="2">
        <f t="shared" si="2"/>
        <v>7.8065641421358043</v>
      </c>
      <c r="E32" s="2">
        <f t="shared" si="1"/>
        <v>3.8</v>
      </c>
      <c r="G32" s="12" t="s">
        <v>29</v>
      </c>
      <c r="H32" s="12">
        <f>H9</f>
        <v>0.6</v>
      </c>
      <c r="I32" s="12" t="s">
        <v>17</v>
      </c>
      <c r="J32" s="13" t="str">
        <f t="shared" si="3"/>
        <v>Vin:   +0.6 V</v>
      </c>
    </row>
    <row r="33" spans="2:10">
      <c r="B33" s="2">
        <v>21.2</v>
      </c>
      <c r="C33" s="2">
        <f t="shared" si="0"/>
        <v>0.71116122290598238</v>
      </c>
      <c r="D33" s="2">
        <f t="shared" si="2"/>
        <v>5.6892897832478591</v>
      </c>
      <c r="E33" s="2">
        <f t="shared" si="1"/>
        <v>3.8</v>
      </c>
      <c r="G33" s="12" t="s">
        <v>67</v>
      </c>
      <c r="H33" s="12">
        <f>C3</f>
        <v>1</v>
      </c>
      <c r="I33" s="12" t="s">
        <v>16</v>
      </c>
      <c r="J33" s="13" t="str">
        <f>TRIM(G33)&amp;"   "&amp;TRIM(H33)&amp;" "&amp;TRIM(I33)</f>
        <v>R1:   1 K</v>
      </c>
    </row>
    <row r="34" spans="2:10">
      <c r="B34" s="2">
        <v>22.2</v>
      </c>
      <c r="C34" s="2">
        <f t="shared" si="0"/>
        <v>-0.20733642060675878</v>
      </c>
      <c r="D34" s="2">
        <f t="shared" si="2"/>
        <v>-1.6586913648540702</v>
      </c>
      <c r="E34" s="2">
        <f t="shared" si="1"/>
        <v>1.2</v>
      </c>
      <c r="G34" s="12" t="s">
        <v>68</v>
      </c>
      <c r="H34" s="12">
        <f>C4</f>
        <v>7</v>
      </c>
      <c r="I34" s="12" t="s">
        <v>16</v>
      </c>
      <c r="J34" s="13" t="str">
        <f>TRIM(G34)&amp;"   "&amp;TRIM(H34)&amp;" "&amp;TRIM(I34)</f>
        <v>RF:   7 K</v>
      </c>
    </row>
    <row r="35" spans="2:10">
      <c r="B35" s="2">
        <v>23.2</v>
      </c>
      <c r="C35" s="2">
        <f t="shared" si="0"/>
        <v>-0.93520991519453889</v>
      </c>
      <c r="D35" s="2">
        <f t="shared" si="2"/>
        <v>-7.4816793215563111</v>
      </c>
      <c r="E35" s="2">
        <f t="shared" si="1"/>
        <v>1.2</v>
      </c>
    </row>
  </sheetData>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EB7424-265C-4B1B-8264-A5D3D5C6AB7D}">
  <dimension ref="B1:J74"/>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166</v>
      </c>
    </row>
    <row r="2" spans="2:9" ht="15.75" thickBot="1">
      <c r="B2" s="2" t="s">
        <v>171</v>
      </c>
      <c r="C2" s="4">
        <v>5</v>
      </c>
      <c r="D2" s="2" t="s">
        <v>17</v>
      </c>
      <c r="G2" s="6" t="s">
        <v>36</v>
      </c>
    </row>
    <row r="3" spans="2:9" ht="15.75" thickBot="1">
      <c r="B3" s="2" t="s">
        <v>12</v>
      </c>
      <c r="C3" s="4">
        <v>10</v>
      </c>
      <c r="D3" s="2" t="s">
        <v>16</v>
      </c>
      <c r="G3" s="2" t="s">
        <v>9</v>
      </c>
      <c r="H3" s="4">
        <v>5</v>
      </c>
      <c r="I3" s="2" t="s">
        <v>18</v>
      </c>
    </row>
    <row r="4" spans="2:9" ht="15.75" thickBot="1">
      <c r="B4" s="2" t="s">
        <v>13</v>
      </c>
      <c r="C4" s="4">
        <v>1</v>
      </c>
      <c r="D4" s="2" t="s">
        <v>16</v>
      </c>
      <c r="G4" s="2" t="s">
        <v>10</v>
      </c>
      <c r="H4" s="5">
        <v>0</v>
      </c>
      <c r="I4" s="2" t="s">
        <v>19</v>
      </c>
    </row>
    <row r="5" spans="2:9" ht="15.75" thickBot="1">
      <c r="B5" s="2" t="s">
        <v>2</v>
      </c>
      <c r="C5" s="4">
        <f>C2*C4/(C3+C4)</f>
        <v>0.45454545454545453</v>
      </c>
      <c r="D5" s="2" t="s">
        <v>17</v>
      </c>
      <c r="G5" s="2" t="s">
        <v>31</v>
      </c>
      <c r="H5" s="4">
        <v>0</v>
      </c>
      <c r="I5" s="2" t="s">
        <v>32</v>
      </c>
    </row>
    <row r="6" spans="2:9" ht="15.75" thickBot="1">
      <c r="B6" s="6" t="s">
        <v>175</v>
      </c>
    </row>
    <row r="7" spans="2:9" ht="15.75" thickBot="1">
      <c r="B7" s="2" t="s">
        <v>168</v>
      </c>
      <c r="C7" s="4">
        <v>2100</v>
      </c>
      <c r="D7" s="2" t="s">
        <v>16</v>
      </c>
    </row>
    <row r="8" spans="2:9" ht="15.75" thickBot="1">
      <c r="B8" s="2" t="s">
        <v>167</v>
      </c>
      <c r="C8" s="4">
        <v>145</v>
      </c>
      <c r="D8" s="2" t="s">
        <v>16</v>
      </c>
      <c r="G8" s="6" t="s">
        <v>33</v>
      </c>
    </row>
    <row r="9" spans="2:9" ht="15.75" thickBot="1">
      <c r="B9" s="2" t="s">
        <v>169</v>
      </c>
      <c r="C9" s="4">
        <v>1000</v>
      </c>
      <c r="D9" s="2" t="s">
        <v>16</v>
      </c>
      <c r="G9" s="6" t="s">
        <v>29</v>
      </c>
      <c r="H9" s="4">
        <v>0.6</v>
      </c>
      <c r="I9" s="2" t="s">
        <v>17</v>
      </c>
    </row>
    <row r="10" spans="2:9" ht="15.75" thickBot="1">
      <c r="B10" s="2" t="s">
        <v>173</v>
      </c>
      <c r="C10" s="4">
        <f>C5*$C$9/($C$7+$C$9)</f>
        <v>0.14662756598240467</v>
      </c>
      <c r="D10" s="2" t="s">
        <v>231</v>
      </c>
      <c r="G10" s="6" t="s">
        <v>34</v>
      </c>
      <c r="H10" s="3">
        <f>IF(H9*C15&gt;($H$3-$H$5),($H$3-$H$5),IF(H9*C15&lt;($H$4+$H$5),($H$4+$H$5),H9*C15))</f>
        <v>3.9599999999999995</v>
      </c>
      <c r="I10" s="2" t="s">
        <v>17</v>
      </c>
    </row>
    <row r="11" spans="2:9" ht="15.75" thickBot="1">
      <c r="B11" s="2" t="s">
        <v>172</v>
      </c>
      <c r="C11" s="4">
        <f>C5*$C$9/($C$8+$C$9)</f>
        <v>0.39698292973402138</v>
      </c>
      <c r="D11" s="2" t="s">
        <v>38</v>
      </c>
    </row>
    <row r="12" spans="2:9" ht="15.75" thickBot="1">
      <c r="B12" s="2" t="s">
        <v>170</v>
      </c>
      <c r="C12" s="4">
        <v>10</v>
      </c>
      <c r="D12" s="2" t="s">
        <v>16</v>
      </c>
    </row>
    <row r="13" spans="2:9" ht="15.75" thickBot="1">
      <c r="B13" s="2" t="s">
        <v>15</v>
      </c>
      <c r="C13" s="4">
        <v>56</v>
      </c>
      <c r="D13" s="2" t="s">
        <v>16</v>
      </c>
    </row>
    <row r="14" spans="2:9">
      <c r="B14" s="2" t="s">
        <v>0</v>
      </c>
      <c r="C14" s="3">
        <v>0</v>
      </c>
      <c r="D14" s="2" t="s">
        <v>17</v>
      </c>
    </row>
    <row r="15" spans="2:9">
      <c r="B15" s="2" t="s">
        <v>1</v>
      </c>
      <c r="C15" s="3">
        <f>1+C13/C12</f>
        <v>6.6</v>
      </c>
      <c r="D15" s="2" t="s">
        <v>39</v>
      </c>
    </row>
    <row r="17" spans="2:10">
      <c r="E17" s="6" t="s">
        <v>30</v>
      </c>
    </row>
    <row r="18" spans="2:10">
      <c r="B18" s="7" t="s">
        <v>6</v>
      </c>
      <c r="C18" s="7" t="s">
        <v>7</v>
      </c>
      <c r="D18" s="7" t="s">
        <v>3</v>
      </c>
      <c r="E18" s="7" t="s">
        <v>3</v>
      </c>
    </row>
    <row r="19" spans="2:10">
      <c r="B19" s="2">
        <v>0</v>
      </c>
      <c r="C19" s="2">
        <f t="shared" ref="C19:C44" si="0">(($C$11-$C$10)/2)*(1+SIN($B19))+$C$10</f>
        <v>0.27180524785821303</v>
      </c>
      <c r="D19" s="2">
        <f t="shared" ref="D19:D44" si="1">$C$15*C19</f>
        <v>1.793914635864206</v>
      </c>
      <c r="E19" s="2">
        <f t="shared" ref="E19:E44" si="2">IF(D19&gt;($H$3-$H$5),($H$3-$H$5),IF(D19&lt;($H$4+$H$5),($H$4+$H$5),D19))</f>
        <v>1.793914635864206</v>
      </c>
    </row>
    <row r="20" spans="2:10">
      <c r="B20" s="2">
        <v>0.1</v>
      </c>
      <c r="C20" s="2">
        <f t="shared" si="0"/>
        <v>0.28430216352780469</v>
      </c>
      <c r="D20" s="2">
        <f t="shared" si="1"/>
        <v>1.8763942792835109</v>
      </c>
      <c r="E20" s="2">
        <f t="shared" si="2"/>
        <v>1.8763942792835109</v>
      </c>
    </row>
    <row r="21" spans="2:10">
      <c r="B21" s="2">
        <v>0.2</v>
      </c>
      <c r="C21" s="2">
        <f t="shared" si="0"/>
        <v>0.29667421414695694</v>
      </c>
      <c r="D21" s="2">
        <f t="shared" si="1"/>
        <v>1.9580498133699158</v>
      </c>
      <c r="E21" s="2">
        <f t="shared" si="2"/>
        <v>1.9580498133699158</v>
      </c>
    </row>
    <row r="22" spans="2:10">
      <c r="B22" s="2">
        <v>1.2</v>
      </c>
      <c r="C22" s="2">
        <f t="shared" si="0"/>
        <v>0.38847574005723767</v>
      </c>
      <c r="D22" s="2">
        <f t="shared" si="1"/>
        <v>2.5639398843777683</v>
      </c>
      <c r="E22" s="2">
        <f t="shared" si="2"/>
        <v>2.5639398843777683</v>
      </c>
    </row>
    <row r="23" spans="2:10">
      <c r="B23" s="2">
        <v>2.2000000000000002</v>
      </c>
      <c r="C23" s="2">
        <f t="shared" si="0"/>
        <v>0.37301095349327673</v>
      </c>
      <c r="D23" s="2">
        <f t="shared" si="1"/>
        <v>2.4618722930556265</v>
      </c>
      <c r="E23" s="2">
        <f t="shared" si="2"/>
        <v>2.4618722930556265</v>
      </c>
    </row>
    <row r="24" spans="2:10">
      <c r="B24" s="2">
        <v>3.2</v>
      </c>
      <c r="C24" s="2">
        <f t="shared" si="0"/>
        <v>0.26449810790246259</v>
      </c>
      <c r="D24" s="2">
        <f t="shared" si="1"/>
        <v>1.745687512156253</v>
      </c>
      <c r="E24" s="2">
        <f t="shared" si="2"/>
        <v>1.745687512156253</v>
      </c>
    </row>
    <row r="25" spans="2:10">
      <c r="B25" s="2">
        <v>4.2</v>
      </c>
      <c r="C25" s="2">
        <f t="shared" si="0"/>
        <v>0.16270341308836295</v>
      </c>
      <c r="D25" s="2">
        <f t="shared" si="1"/>
        <v>1.0738425263831954</v>
      </c>
      <c r="E25" s="2">
        <f t="shared" si="2"/>
        <v>1.0738425263831954</v>
      </c>
    </row>
    <row r="26" spans="2:10">
      <c r="B26" s="2">
        <v>5.2</v>
      </c>
      <c r="C26" s="2">
        <f t="shared" si="0"/>
        <v>0.16121644201277391</v>
      </c>
      <c r="D26" s="2">
        <f t="shared" si="1"/>
        <v>1.0640285172843078</v>
      </c>
      <c r="E26" s="2">
        <f t="shared" si="2"/>
        <v>1.0640285172843078</v>
      </c>
    </row>
    <row r="27" spans="2:10">
      <c r="B27" s="2">
        <v>6.2</v>
      </c>
      <c r="C27" s="2">
        <f t="shared" si="0"/>
        <v>0.26140430902507356</v>
      </c>
      <c r="D27" s="2">
        <f t="shared" si="1"/>
        <v>1.7252684395654854</v>
      </c>
      <c r="E27" s="2">
        <f t="shared" si="2"/>
        <v>1.7252684395654854</v>
      </c>
    </row>
    <row r="28" spans="2:10">
      <c r="B28" s="2">
        <v>7.2</v>
      </c>
      <c r="C28" s="2">
        <f t="shared" si="0"/>
        <v>0.37115475123417474</v>
      </c>
      <c r="D28" s="2">
        <f t="shared" si="1"/>
        <v>2.4496213581455533</v>
      </c>
      <c r="E28" s="2">
        <f t="shared" si="2"/>
        <v>2.4496213581455533</v>
      </c>
    </row>
    <row r="29" spans="2:10">
      <c r="B29" s="2">
        <v>8.1999999999999993</v>
      </c>
      <c r="C29" s="2">
        <f t="shared" si="0"/>
        <v>0.38956371821312574</v>
      </c>
      <c r="D29" s="2">
        <f t="shared" si="1"/>
        <v>2.5711205402066297</v>
      </c>
      <c r="E29" s="2">
        <f t="shared" si="2"/>
        <v>2.5711205402066297</v>
      </c>
      <c r="G29" s="6" t="s">
        <v>65</v>
      </c>
    </row>
    <row r="30" spans="2:10">
      <c r="B30" s="2">
        <v>9.1999999999999993</v>
      </c>
      <c r="C30" s="2">
        <f t="shared" si="0"/>
        <v>0.29970609061878006</v>
      </c>
      <c r="D30" s="2">
        <f t="shared" si="1"/>
        <v>1.9780601980839483</v>
      </c>
      <c r="E30" s="2">
        <f t="shared" si="2"/>
        <v>1.9780601980839483</v>
      </c>
      <c r="G30" s="12" t="s">
        <v>64</v>
      </c>
      <c r="H30" s="12">
        <f>H3</f>
        <v>5</v>
      </c>
      <c r="I30" s="12" t="s">
        <v>17</v>
      </c>
      <c r="J30" s="13" t="str">
        <f>TRIM(G30)&amp;"   "&amp;IF(H30&gt;0,"+","")&amp;TRIM(H30)&amp;" "&amp;TRIM(I30)</f>
        <v>V+:   +5 V</v>
      </c>
    </row>
    <row r="31" spans="2:10">
      <c r="B31" s="2">
        <v>10.199999999999999</v>
      </c>
      <c r="C31" s="2">
        <f t="shared" si="0"/>
        <v>0.18419655686169784</v>
      </c>
      <c r="D31" s="2">
        <f t="shared" si="1"/>
        <v>1.2156972752872057</v>
      </c>
      <c r="E31" s="2">
        <f t="shared" si="2"/>
        <v>1.2156972752872057</v>
      </c>
      <c r="G31" s="12" t="s">
        <v>66</v>
      </c>
      <c r="H31" s="12">
        <f>H4</f>
        <v>0</v>
      </c>
      <c r="I31" s="12" t="s">
        <v>17</v>
      </c>
      <c r="J31" s="13" t="str">
        <f t="shared" ref="J31:J32" si="3">TRIM(G31)&amp;"   "&amp;IF(H31&gt;0,"+","")&amp;TRIM(H31)&amp;" "&amp;TRIM(I31)</f>
        <v>V-:   0 V</v>
      </c>
    </row>
    <row r="32" spans="2:10">
      <c r="B32" s="2">
        <v>11.2</v>
      </c>
      <c r="C32" s="2">
        <f t="shared" si="0"/>
        <v>0.14923404957863298</v>
      </c>
      <c r="D32" s="2">
        <f t="shared" si="1"/>
        <v>0.98494472721897763</v>
      </c>
      <c r="E32" s="2">
        <f t="shared" si="2"/>
        <v>0.98494472721897763</v>
      </c>
      <c r="G32" s="12" t="s">
        <v>29</v>
      </c>
      <c r="H32" s="12">
        <f>H9</f>
        <v>0.6</v>
      </c>
      <c r="I32" s="12" t="s">
        <v>17</v>
      </c>
      <c r="J32" s="13" t="str">
        <f t="shared" si="3"/>
        <v>Vin:   +0.6 V</v>
      </c>
    </row>
    <row r="33" spans="2:10">
      <c r="B33" s="2">
        <v>12.2</v>
      </c>
      <c r="C33" s="2">
        <f t="shared" si="0"/>
        <v>0.22696293672777212</v>
      </c>
      <c r="D33" s="2">
        <f t="shared" si="1"/>
        <v>1.4979553824032958</v>
      </c>
      <c r="E33" s="2">
        <f t="shared" si="2"/>
        <v>1.4979553824032958</v>
      </c>
      <c r="G33" s="12" t="s">
        <v>67</v>
      </c>
      <c r="H33" s="12">
        <f>C12</f>
        <v>10</v>
      </c>
      <c r="I33" s="12" t="s">
        <v>16</v>
      </c>
      <c r="J33" s="13" t="str">
        <f>TRIM(G33)&amp;"   "&amp;TRIM(H33)&amp;" "&amp;TRIM(I33)</f>
        <v>R1:   10 K</v>
      </c>
    </row>
    <row r="34" spans="2:10">
      <c r="B34" s="2">
        <v>13.2</v>
      </c>
      <c r="C34" s="2">
        <f t="shared" si="0"/>
        <v>0.34591963792932556</v>
      </c>
      <c r="D34" s="2">
        <f t="shared" si="1"/>
        <v>2.2830696103335484</v>
      </c>
      <c r="E34" s="2">
        <f t="shared" si="2"/>
        <v>2.2830696103335484</v>
      </c>
      <c r="G34" s="12" t="s">
        <v>68</v>
      </c>
      <c r="H34" s="12">
        <f>C13</f>
        <v>56</v>
      </c>
      <c r="I34" s="12" t="s">
        <v>16</v>
      </c>
      <c r="J34" s="13" t="str">
        <f>TRIM(G34)&amp;"   "&amp;TRIM(H34)&amp;" "&amp;TRIM(I34)</f>
        <v>RF:   56 K</v>
      </c>
    </row>
    <row r="35" spans="2:10">
      <c r="B35" s="2">
        <v>14.2</v>
      </c>
      <c r="C35" s="2">
        <f t="shared" si="0"/>
        <v>0.39673591069551961</v>
      </c>
      <c r="D35" s="2">
        <f t="shared" si="1"/>
        <v>2.6184570105904292</v>
      </c>
      <c r="E35" s="2">
        <f t="shared" si="2"/>
        <v>2.6184570105904292</v>
      </c>
    </row>
    <row r="36" spans="2:10">
      <c r="B36" s="2">
        <v>15.2</v>
      </c>
      <c r="C36" s="2">
        <f t="shared" si="0"/>
        <v>0.33269150819636428</v>
      </c>
      <c r="D36" s="2">
        <f t="shared" si="1"/>
        <v>2.1957639540960043</v>
      </c>
      <c r="E36" s="2">
        <f t="shared" si="2"/>
        <v>2.1957639540960043</v>
      </c>
    </row>
    <row r="37" spans="2:10">
      <c r="B37" s="2">
        <v>16.2</v>
      </c>
      <c r="C37" s="2">
        <f t="shared" si="0"/>
        <v>0.21266855873368837</v>
      </c>
      <c r="D37" s="2">
        <f t="shared" si="1"/>
        <v>1.4036124876423433</v>
      </c>
      <c r="E37" s="2">
        <f t="shared" si="2"/>
        <v>1.4036124876423433</v>
      </c>
    </row>
    <row r="38" spans="2:10">
      <c r="B38" s="2">
        <v>17.2</v>
      </c>
      <c r="C38" s="2">
        <f t="shared" si="0"/>
        <v>0.14701560852928577</v>
      </c>
      <c r="D38" s="2">
        <f t="shared" si="1"/>
        <v>0.97030301629328608</v>
      </c>
      <c r="E38" s="2">
        <f t="shared" si="2"/>
        <v>0.97030301629328608</v>
      </c>
    </row>
    <row r="39" spans="2:10">
      <c r="B39" s="2">
        <v>18.2</v>
      </c>
      <c r="C39" s="2">
        <f t="shared" si="0"/>
        <v>0.19609367722699189</v>
      </c>
      <c r="D39" s="2">
        <f t="shared" si="1"/>
        <v>1.2942182696981464</v>
      </c>
      <c r="E39" s="2">
        <f t="shared" si="2"/>
        <v>1.2942182696981464</v>
      </c>
    </row>
    <row r="40" spans="2:10">
      <c r="B40" s="2">
        <v>19.2</v>
      </c>
      <c r="C40" s="2">
        <f t="shared" si="0"/>
        <v>0.31478061480124564</v>
      </c>
      <c r="D40" s="2">
        <f t="shared" si="1"/>
        <v>2.0775520576882212</v>
      </c>
      <c r="E40" s="2">
        <f t="shared" si="2"/>
        <v>2.0775520576882212</v>
      </c>
    </row>
    <row r="41" spans="2:10">
      <c r="B41" s="2">
        <v>20.2</v>
      </c>
      <c r="C41" s="2">
        <f t="shared" si="0"/>
        <v>0.39395619819913408</v>
      </c>
      <c r="D41" s="2">
        <f t="shared" si="1"/>
        <v>2.6001109081142846</v>
      </c>
      <c r="E41" s="2">
        <f t="shared" si="2"/>
        <v>2.6001109081142846</v>
      </c>
    </row>
    <row r="42" spans="2:10">
      <c r="B42" s="2">
        <v>21.2</v>
      </c>
      <c r="C42" s="2">
        <f t="shared" si="0"/>
        <v>0.36082676118154888</v>
      </c>
      <c r="D42" s="2">
        <f t="shared" si="1"/>
        <v>2.3814566237982224</v>
      </c>
      <c r="E42" s="2">
        <f t="shared" si="2"/>
        <v>2.3814566237982224</v>
      </c>
    </row>
    <row r="43" spans="2:10">
      <c r="B43" s="2">
        <v>22.2</v>
      </c>
      <c r="C43" s="2">
        <f t="shared" si="0"/>
        <v>0.24585135535823138</v>
      </c>
      <c r="D43" s="2">
        <f t="shared" si="1"/>
        <v>1.6226189453643269</v>
      </c>
      <c r="E43" s="2">
        <f t="shared" si="2"/>
        <v>1.6226189453643269</v>
      </c>
    </row>
    <row r="44" spans="2:10">
      <c r="B44" s="2">
        <v>23.2</v>
      </c>
      <c r="C44" s="2">
        <f t="shared" si="0"/>
        <v>0.15473783860688933</v>
      </c>
      <c r="D44" s="2">
        <f t="shared" si="1"/>
        <v>1.0212697348054696</v>
      </c>
      <c r="E44" s="2">
        <f t="shared" si="2"/>
        <v>1.0212697348054696</v>
      </c>
    </row>
    <row r="47" spans="2:10">
      <c r="E47" s="6" t="s">
        <v>30</v>
      </c>
    </row>
    <row r="48" spans="2:10">
      <c r="B48" s="7" t="s">
        <v>174</v>
      </c>
      <c r="C48" s="7" t="s">
        <v>7</v>
      </c>
      <c r="D48" s="7" t="s">
        <v>3</v>
      </c>
      <c r="E48" s="7" t="s">
        <v>3</v>
      </c>
    </row>
    <row r="49" spans="2:5">
      <c r="B49" s="2">
        <f>C7</f>
        <v>2100</v>
      </c>
      <c r="C49" s="2">
        <f t="shared" ref="C49:C74" si="4">$C$5*$C$9/(B49+$C$9)</f>
        <v>0.14662756598240467</v>
      </c>
      <c r="D49" s="2">
        <f t="shared" ref="D49:D74" si="5">$C$15*C49</f>
        <v>0.96774193548387077</v>
      </c>
      <c r="E49" s="2">
        <f t="shared" ref="E49:E74" si="6">IF(D49&gt;($H$3-$H$5),($H$3-$H$5),IF(D49&lt;($H$4+$H$5),($H$4+$H$5),D49))</f>
        <v>0.96774193548387077</v>
      </c>
    </row>
    <row r="50" spans="2:5">
      <c r="B50" s="2">
        <f t="shared" ref="B50:B74" si="7">B49-($C$7-$C$8)/25</f>
        <v>2021.8</v>
      </c>
      <c r="C50" s="2">
        <f t="shared" si="4"/>
        <v>0.15042208436873866</v>
      </c>
      <c r="D50" s="2">
        <f t="shared" si="5"/>
        <v>0.99278575683367509</v>
      </c>
      <c r="E50" s="2">
        <f t="shared" si="6"/>
        <v>0.99278575683367509</v>
      </c>
    </row>
    <row r="51" spans="2:5">
      <c r="B51" s="2">
        <f t="shared" si="7"/>
        <v>1943.6</v>
      </c>
      <c r="C51" s="2">
        <f t="shared" si="4"/>
        <v>0.15441821393717031</v>
      </c>
      <c r="D51" s="2">
        <f t="shared" si="5"/>
        <v>1.019160211985324</v>
      </c>
      <c r="E51" s="2">
        <f t="shared" si="6"/>
        <v>1.019160211985324</v>
      </c>
    </row>
    <row r="52" spans="2:5">
      <c r="B52" s="2">
        <f t="shared" si="7"/>
        <v>1865.3999999999999</v>
      </c>
      <c r="C52" s="2">
        <f t="shared" si="4"/>
        <v>0.15863246127781622</v>
      </c>
      <c r="D52" s="2">
        <f t="shared" si="5"/>
        <v>1.046974244433587</v>
      </c>
      <c r="E52" s="2">
        <f t="shared" si="6"/>
        <v>1.046974244433587</v>
      </c>
    </row>
    <row r="53" spans="2:5">
      <c r="B53" s="2">
        <f t="shared" si="7"/>
        <v>1787.1999999999998</v>
      </c>
      <c r="C53" s="2">
        <f t="shared" si="4"/>
        <v>0.16308318547124517</v>
      </c>
      <c r="D53" s="2">
        <f t="shared" si="5"/>
        <v>1.076349024110218</v>
      </c>
      <c r="E53" s="2">
        <f t="shared" si="6"/>
        <v>1.076349024110218</v>
      </c>
    </row>
    <row r="54" spans="2:5">
      <c r="B54" s="2">
        <f t="shared" si="7"/>
        <v>1708.9999999999998</v>
      </c>
      <c r="C54" s="2">
        <f t="shared" si="4"/>
        <v>0.16779086546528404</v>
      </c>
      <c r="D54" s="2">
        <f t="shared" si="5"/>
        <v>1.1074197120708746</v>
      </c>
      <c r="E54" s="2">
        <f t="shared" si="6"/>
        <v>1.1074197120708746</v>
      </c>
    </row>
    <row r="55" spans="2:5">
      <c r="B55" s="2">
        <f t="shared" si="7"/>
        <v>1630.7999999999997</v>
      </c>
      <c r="C55" s="2">
        <f t="shared" si="4"/>
        <v>0.17277841513815362</v>
      </c>
      <c r="D55" s="2">
        <f t="shared" si="5"/>
        <v>1.1403375399118139</v>
      </c>
      <c r="E55" s="2">
        <f t="shared" si="6"/>
        <v>1.1403375399118139</v>
      </c>
    </row>
    <row r="56" spans="2:5">
      <c r="B56" s="2">
        <f t="shared" si="7"/>
        <v>1552.5999999999997</v>
      </c>
      <c r="C56" s="2">
        <f t="shared" si="4"/>
        <v>0.17807155627417323</v>
      </c>
      <c r="D56" s="2">
        <f t="shared" si="5"/>
        <v>1.1752722714095432</v>
      </c>
      <c r="E56" s="2">
        <f t="shared" si="6"/>
        <v>1.1752722714095432</v>
      </c>
    </row>
    <row r="57" spans="2:5">
      <c r="B57" s="2">
        <f t="shared" si="7"/>
        <v>1474.3999999999996</v>
      </c>
      <c r="C57" s="2">
        <f t="shared" si="4"/>
        <v>0.18369926226376276</v>
      </c>
      <c r="D57" s="2">
        <f t="shared" si="5"/>
        <v>1.2124151309408342</v>
      </c>
      <c r="E57" s="2">
        <f t="shared" si="6"/>
        <v>1.2124151309408342</v>
      </c>
    </row>
    <row r="58" spans="2:5">
      <c r="B58" s="2">
        <f t="shared" si="7"/>
        <v>1396.1999999999996</v>
      </c>
      <c r="C58" s="2">
        <f t="shared" si="4"/>
        <v>0.18969428868435628</v>
      </c>
      <c r="D58" s="2">
        <f t="shared" si="5"/>
        <v>1.2519823053167514</v>
      </c>
      <c r="E58" s="2">
        <f t="shared" si="6"/>
        <v>1.2519823053167514</v>
      </c>
    </row>
    <row r="59" spans="2:5">
      <c r="B59" s="2">
        <f t="shared" si="7"/>
        <v>1317.9999999999995</v>
      </c>
      <c r="C59" s="2">
        <f t="shared" si="4"/>
        <v>0.19609381127931605</v>
      </c>
      <c r="D59" s="2">
        <f t="shared" si="5"/>
        <v>1.2942191544434858</v>
      </c>
      <c r="E59" s="2">
        <f t="shared" si="6"/>
        <v>1.2942191544434858</v>
      </c>
    </row>
    <row r="60" spans="2:5">
      <c r="B60" s="2">
        <f t="shared" si="7"/>
        <v>1239.7999999999995</v>
      </c>
      <c r="C60" s="2">
        <f t="shared" si="4"/>
        <v>0.20294019758257642</v>
      </c>
      <c r="D60" s="2">
        <f t="shared" si="5"/>
        <v>1.3394053040450042</v>
      </c>
      <c r="E60" s="2">
        <f t="shared" si="6"/>
        <v>1.3394053040450042</v>
      </c>
    </row>
    <row r="61" spans="2:5">
      <c r="B61" s="2">
        <f t="shared" si="7"/>
        <v>1161.5999999999995</v>
      </c>
      <c r="C61" s="2">
        <f t="shared" si="4"/>
        <v>0.21028194603324141</v>
      </c>
      <c r="D61" s="2">
        <f t="shared" si="5"/>
        <v>1.3878608438193931</v>
      </c>
      <c r="E61" s="2">
        <f t="shared" si="6"/>
        <v>1.3878608438193931</v>
      </c>
    </row>
    <row r="62" spans="2:5">
      <c r="B62" s="2">
        <f t="shared" si="7"/>
        <v>1083.3999999999994</v>
      </c>
      <c r="C62" s="2">
        <f t="shared" si="4"/>
        <v>0.21817483658704742</v>
      </c>
      <c r="D62" s="2">
        <f t="shared" si="5"/>
        <v>1.439953921474513</v>
      </c>
      <c r="E62" s="2">
        <f t="shared" si="6"/>
        <v>1.439953921474513</v>
      </c>
    </row>
    <row r="63" spans="2:5">
      <c r="B63" s="2">
        <f t="shared" si="7"/>
        <v>1005.1999999999994</v>
      </c>
      <c r="C63" s="2">
        <f t="shared" si="4"/>
        <v>0.22668335056126804</v>
      </c>
      <c r="D63" s="2">
        <f t="shared" si="5"/>
        <v>1.4961101137043689</v>
      </c>
      <c r="E63" s="2">
        <f t="shared" si="6"/>
        <v>1.4961101137043689</v>
      </c>
    </row>
    <row r="64" spans="2:5">
      <c r="B64" s="2">
        <f t="shared" si="7"/>
        <v>926.99999999999932</v>
      </c>
      <c r="C64" s="2">
        <f t="shared" si="4"/>
        <v>0.23588243619380106</v>
      </c>
      <c r="D64" s="2">
        <f t="shared" si="5"/>
        <v>1.5568240788790868</v>
      </c>
      <c r="E64" s="2">
        <f t="shared" si="6"/>
        <v>1.5568240788790868</v>
      </c>
    </row>
    <row r="65" spans="2:5">
      <c r="B65" s="2">
        <f t="shared" si="7"/>
        <v>848.79999999999927</v>
      </c>
      <c r="C65" s="2">
        <f t="shared" si="4"/>
        <v>0.24585972227685779</v>
      </c>
      <c r="D65" s="2">
        <f t="shared" si="5"/>
        <v>1.6226741670272613</v>
      </c>
      <c r="E65" s="2">
        <f t="shared" si="6"/>
        <v>1.6226741670272613</v>
      </c>
    </row>
    <row r="66" spans="2:5">
      <c r="B66" s="2">
        <f t="shared" si="7"/>
        <v>770.59999999999923</v>
      </c>
      <c r="C66" s="2">
        <f t="shared" si="4"/>
        <v>0.25671831839232728</v>
      </c>
      <c r="D66" s="2">
        <f t="shared" si="5"/>
        <v>1.69434090138936</v>
      </c>
      <c r="E66" s="2">
        <f t="shared" si="6"/>
        <v>1.69434090138936</v>
      </c>
    </row>
    <row r="67" spans="2:5">
      <c r="B67" s="2">
        <f t="shared" si="7"/>
        <v>692.39999999999918</v>
      </c>
      <c r="C67" s="2">
        <f t="shared" si="4"/>
        <v>0.26858039148277874</v>
      </c>
      <c r="D67" s="2">
        <f t="shared" si="5"/>
        <v>1.7726305837863396</v>
      </c>
      <c r="E67" s="2">
        <f t="shared" si="6"/>
        <v>1.7726305837863396</v>
      </c>
    </row>
    <row r="68" spans="2:5">
      <c r="B68" s="2">
        <f t="shared" si="7"/>
        <v>614.19999999999914</v>
      </c>
      <c r="C68" s="2">
        <f t="shared" si="4"/>
        <v>0.2815917820254335</v>
      </c>
      <c r="D68" s="2">
        <f t="shared" si="5"/>
        <v>1.8585057613678611</v>
      </c>
      <c r="E68" s="2">
        <f t="shared" si="6"/>
        <v>1.8585057613678611</v>
      </c>
    </row>
    <row r="69" spans="2:5">
      <c r="B69" s="2">
        <f t="shared" si="7"/>
        <v>535.99999999999909</v>
      </c>
      <c r="C69" s="2">
        <f t="shared" si="4"/>
        <v>0.29592803030303044</v>
      </c>
      <c r="D69" s="2">
        <f t="shared" si="5"/>
        <v>1.9531250000000009</v>
      </c>
      <c r="E69" s="2">
        <f t="shared" si="6"/>
        <v>1.9531250000000009</v>
      </c>
    </row>
    <row r="70" spans="2:5">
      <c r="B70" s="2">
        <f t="shared" si="7"/>
        <v>457.7999999999991</v>
      </c>
      <c r="C70" s="2">
        <f t="shared" si="4"/>
        <v>0.31180234225919523</v>
      </c>
      <c r="D70" s="2">
        <f t="shared" si="5"/>
        <v>2.0578954589106884</v>
      </c>
      <c r="E70" s="2">
        <f t="shared" si="6"/>
        <v>2.0578954589106884</v>
      </c>
    </row>
    <row r="71" spans="2:5">
      <c r="B71" s="2">
        <f t="shared" si="7"/>
        <v>379.59999999999911</v>
      </c>
      <c r="C71" s="2">
        <f t="shared" si="4"/>
        <v>0.32947626452990347</v>
      </c>
      <c r="D71" s="2">
        <f t="shared" si="5"/>
        <v>2.1745433458973626</v>
      </c>
      <c r="E71" s="2">
        <f t="shared" si="6"/>
        <v>2.1745433458973626</v>
      </c>
    </row>
    <row r="72" spans="2:5">
      <c r="B72" s="2">
        <f t="shared" si="7"/>
        <v>301.39999999999912</v>
      </c>
      <c r="C72" s="2">
        <f t="shared" si="4"/>
        <v>0.34927420819537019</v>
      </c>
      <c r="D72" s="2">
        <f t="shared" si="5"/>
        <v>2.3052097740894433</v>
      </c>
      <c r="E72" s="2">
        <f t="shared" si="6"/>
        <v>2.3052097740894433</v>
      </c>
    </row>
    <row r="73" spans="2:5">
      <c r="B73" s="2">
        <f t="shared" si="7"/>
        <v>223.19999999999914</v>
      </c>
      <c r="C73" s="2">
        <f t="shared" si="4"/>
        <v>0.37160354361139208</v>
      </c>
      <c r="D73" s="2">
        <f t="shared" si="5"/>
        <v>2.4525833878351877</v>
      </c>
      <c r="E73" s="2">
        <f t="shared" si="6"/>
        <v>2.4525833878351877</v>
      </c>
    </row>
    <row r="74" spans="2:5">
      <c r="B74" s="2">
        <f t="shared" si="7"/>
        <v>144.99999999999915</v>
      </c>
      <c r="C74" s="2">
        <f t="shared" si="4"/>
        <v>0.39698292973402172</v>
      </c>
      <c r="D74" s="2">
        <f t="shared" si="5"/>
        <v>2.6200873362445432</v>
      </c>
      <c r="E74" s="2">
        <f t="shared" si="6"/>
        <v>2.6200873362445432</v>
      </c>
    </row>
  </sheetData>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3D085D-AD2F-46FD-8278-9D1F8A10A25C}">
  <dimension ref="B1:AE56"/>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26" ht="47.25" thickBot="1">
      <c r="B1" s="1" t="s">
        <v>230</v>
      </c>
    </row>
    <row r="2" spans="2:26" ht="15.75" thickBot="1">
      <c r="B2" s="2" t="s">
        <v>171</v>
      </c>
      <c r="C2" s="4">
        <v>3.3</v>
      </c>
      <c r="D2" s="2" t="s">
        <v>17</v>
      </c>
      <c r="G2" s="6" t="s">
        <v>36</v>
      </c>
    </row>
    <row r="3" spans="2:26" ht="15.75" thickBot="1">
      <c r="B3" s="2" t="s">
        <v>12</v>
      </c>
      <c r="C3" s="4">
        <v>5</v>
      </c>
      <c r="D3" s="2" t="s">
        <v>16</v>
      </c>
      <c r="G3" s="2" t="s">
        <v>9</v>
      </c>
      <c r="H3" s="4">
        <v>5</v>
      </c>
      <c r="I3" s="2" t="s">
        <v>18</v>
      </c>
    </row>
    <row r="4" spans="2:26" ht="15.75" thickBot="1">
      <c r="B4" s="2" t="s">
        <v>13</v>
      </c>
      <c r="C4" s="4">
        <v>1</v>
      </c>
      <c r="D4" s="2" t="s">
        <v>16</v>
      </c>
      <c r="G4" s="2" t="s">
        <v>10</v>
      </c>
      <c r="H4" s="5">
        <v>-5</v>
      </c>
      <c r="I4" s="2" t="s">
        <v>19</v>
      </c>
    </row>
    <row r="5" spans="2:26" ht="15.75" thickBot="1">
      <c r="B5" s="2" t="s">
        <v>11</v>
      </c>
      <c r="C5" s="3">
        <f>C2*C4/(C3+C4)</f>
        <v>0.54999999999999993</v>
      </c>
      <c r="D5" s="2" t="s">
        <v>17</v>
      </c>
      <c r="G5" s="2" t="s">
        <v>31</v>
      </c>
      <c r="H5" s="4">
        <v>1.3</v>
      </c>
      <c r="I5" s="2" t="s">
        <v>32</v>
      </c>
      <c r="X5" s="31" t="s">
        <v>237</v>
      </c>
      <c r="Y5" s="31" t="s">
        <v>238</v>
      </c>
      <c r="Z5" s="31" t="s">
        <v>17</v>
      </c>
    </row>
    <row r="6" spans="2:26" ht="15.75" thickBot="1">
      <c r="B6" s="2" t="s">
        <v>14</v>
      </c>
      <c r="C6" s="4">
        <v>1</v>
      </c>
      <c r="D6" s="2" t="s">
        <v>16</v>
      </c>
      <c r="X6" s="31">
        <v>-100</v>
      </c>
      <c r="Y6" s="31">
        <v>-3.5539999999999998</v>
      </c>
      <c r="Z6" s="31">
        <f>Y6/1000</f>
        <v>-3.5539999999999999E-3</v>
      </c>
    </row>
    <row r="7" spans="2:26" ht="15.75" thickBot="1">
      <c r="B7" s="2" t="s">
        <v>233</v>
      </c>
      <c r="C7" s="4">
        <v>1</v>
      </c>
      <c r="D7" s="2" t="s">
        <v>16</v>
      </c>
      <c r="X7" s="31">
        <v>-90</v>
      </c>
      <c r="Y7" s="31">
        <v>-3.2429999999999999</v>
      </c>
      <c r="Z7" s="31">
        <f t="shared" ref="Z7:Z26" si="0">Y7/1000</f>
        <v>-3.2429999999999998E-3</v>
      </c>
    </row>
    <row r="8" spans="2:26" ht="15.75" thickBot="1">
      <c r="B8" s="2" t="s">
        <v>234</v>
      </c>
      <c r="C8" s="4">
        <v>1</v>
      </c>
      <c r="D8" s="2" t="s">
        <v>16</v>
      </c>
      <c r="G8" s="6" t="s">
        <v>33</v>
      </c>
      <c r="X8" s="31">
        <v>-80</v>
      </c>
      <c r="Y8" s="31">
        <v>-2.92</v>
      </c>
      <c r="Z8" s="31">
        <f t="shared" si="0"/>
        <v>-2.9199999999999999E-3</v>
      </c>
    </row>
    <row r="9" spans="2:26" ht="15.75" thickBot="1">
      <c r="B9" s="2" t="s">
        <v>235</v>
      </c>
      <c r="C9" s="4">
        <v>1</v>
      </c>
      <c r="D9" s="2" t="s">
        <v>16</v>
      </c>
      <c r="G9" s="6" t="s">
        <v>29</v>
      </c>
      <c r="H9" s="4">
        <v>-3.8999999999999999E-4</v>
      </c>
      <c r="I9" s="2" t="s">
        <v>17</v>
      </c>
      <c r="X9" s="31">
        <v>-70</v>
      </c>
      <c r="Y9" s="31">
        <v>-2.5870000000000002</v>
      </c>
      <c r="Z9" s="31">
        <f t="shared" si="0"/>
        <v>-2.5870000000000003E-3</v>
      </c>
    </row>
    <row r="10" spans="2:26" ht="15.75" thickBot="1">
      <c r="B10" s="2" t="s">
        <v>173</v>
      </c>
      <c r="C10" s="4">
        <f>-0.392/1000</f>
        <v>-3.9200000000000004E-4</v>
      </c>
      <c r="D10" s="2" t="s">
        <v>231</v>
      </c>
      <c r="G10" s="6" t="s">
        <v>34</v>
      </c>
      <c r="H10" s="3">
        <f>IF((1+$C$9/$C$8)*($C$15*H9*($C$7/($C$6+$C$7))+$C$5*($C$6/($C$6+$C$7)))&gt;($H$3-$H$5),($H$3-$H$5),IF((1+$C$9/$C$8)*($C$15*H9*($C$7/($C$6+$C$7))+$C$5*($C$6/($C$6+$C$7)))&lt;($H$4+$H$5),($H$4+$H$5),(1+$C$9/$C$8)*($C$15*H9*($C$7/($C$6+$C$7))+$C$5*($C$6/($C$6+$C$7)))))</f>
        <v>0.15960999999999992</v>
      </c>
      <c r="I10" s="2" t="s">
        <v>17</v>
      </c>
      <c r="X10" s="31">
        <v>-60</v>
      </c>
      <c r="Y10" s="31">
        <v>-2.2429999999999999</v>
      </c>
      <c r="Z10" s="31">
        <f t="shared" si="0"/>
        <v>-2.2429999999999998E-3</v>
      </c>
    </row>
    <row r="11" spans="2:26" ht="15.75" thickBot="1">
      <c r="B11" s="2" t="s">
        <v>172</v>
      </c>
      <c r="C11" s="4">
        <f>1.203/1000</f>
        <v>1.2030000000000001E-3</v>
      </c>
      <c r="D11" s="2" t="s">
        <v>38</v>
      </c>
      <c r="G11" s="2" t="s">
        <v>236</v>
      </c>
      <c r="H11" s="3">
        <f>H9*Z28+Z29</f>
        <v>-12.629615765618523</v>
      </c>
      <c r="I11" s="17" t="s">
        <v>241</v>
      </c>
      <c r="X11" s="31">
        <v>-50</v>
      </c>
      <c r="Y11" s="31">
        <v>-1.889</v>
      </c>
      <c r="Z11" s="31">
        <f t="shared" si="0"/>
        <v>-1.8890000000000001E-3</v>
      </c>
    </row>
    <row r="12" spans="2:26" ht="15.75" thickBot="1">
      <c r="B12" s="2" t="s">
        <v>170</v>
      </c>
      <c r="C12" s="4">
        <v>1</v>
      </c>
      <c r="D12" s="2" t="s">
        <v>16</v>
      </c>
      <c r="X12" s="31">
        <v>-40</v>
      </c>
      <c r="Y12" s="31">
        <v>-1.5269999999999999</v>
      </c>
      <c r="Z12" s="31">
        <f t="shared" si="0"/>
        <v>-1.5269999999999999E-3</v>
      </c>
    </row>
    <row r="13" spans="2:26" ht="15.75" thickBot="1">
      <c r="B13" s="2" t="s">
        <v>15</v>
      </c>
      <c r="C13" s="4">
        <v>1000</v>
      </c>
      <c r="D13" s="2" t="s">
        <v>16</v>
      </c>
      <c r="X13" s="31">
        <v>-30</v>
      </c>
      <c r="Y13" s="31">
        <v>-1.1559999999999999</v>
      </c>
      <c r="Z13" s="31">
        <f t="shared" si="0"/>
        <v>-1.1559999999999999E-3</v>
      </c>
    </row>
    <row r="14" spans="2:26">
      <c r="B14" s="2" t="s">
        <v>0</v>
      </c>
      <c r="C14" s="3">
        <f>C5</f>
        <v>0.54999999999999993</v>
      </c>
      <c r="D14" s="2" t="s">
        <v>232</v>
      </c>
      <c r="X14" s="31">
        <v>-20</v>
      </c>
      <c r="Y14" s="31">
        <v>-0.77800000000000002</v>
      </c>
      <c r="Z14" s="31">
        <f t="shared" si="0"/>
        <v>-7.7800000000000005E-4</v>
      </c>
    </row>
    <row r="15" spans="2:26">
      <c r="B15" s="2" t="s">
        <v>1</v>
      </c>
      <c r="C15" s="3">
        <f>1+C13/C12</f>
        <v>1001</v>
      </c>
      <c r="D15" s="2" t="s">
        <v>39</v>
      </c>
      <c r="X15" s="31">
        <v>-10</v>
      </c>
      <c r="Y15" s="31">
        <v>-0.39200000000000002</v>
      </c>
      <c r="Z15" s="31">
        <f t="shared" si="0"/>
        <v>-3.9200000000000004E-4</v>
      </c>
    </row>
    <row r="16" spans="2:26">
      <c r="X16" s="31">
        <v>0</v>
      </c>
      <c r="Y16" s="31">
        <v>0</v>
      </c>
      <c r="Z16" s="31">
        <f t="shared" si="0"/>
        <v>0</v>
      </c>
    </row>
    <row r="17" spans="2:26">
      <c r="E17" s="6" t="s">
        <v>30</v>
      </c>
      <c r="X17" s="31">
        <v>10</v>
      </c>
      <c r="Y17" s="31">
        <v>0.39700000000000002</v>
      </c>
      <c r="Z17" s="31">
        <f t="shared" si="0"/>
        <v>3.97E-4</v>
      </c>
    </row>
    <row r="18" spans="2:26">
      <c r="B18" s="7" t="s">
        <v>6</v>
      </c>
      <c r="C18" s="7" t="s">
        <v>7</v>
      </c>
      <c r="D18" s="7" t="s">
        <v>3</v>
      </c>
      <c r="E18" s="7" t="s">
        <v>3</v>
      </c>
      <c r="X18" s="31">
        <f>X17+10</f>
        <v>20</v>
      </c>
      <c r="Y18" s="31">
        <v>0.79800000000000004</v>
      </c>
      <c r="Z18" s="31">
        <f t="shared" si="0"/>
        <v>7.9799999999999999E-4</v>
      </c>
    </row>
    <row r="19" spans="2:26">
      <c r="B19" s="2">
        <v>0</v>
      </c>
      <c r="C19" s="2">
        <f t="shared" ref="C19:C44" si="1">(($C$11-$C$10)/2)*(1+SIN($B19))+$C$10</f>
        <v>4.0549999999999999E-4</v>
      </c>
      <c r="D19" s="2">
        <f>(1+$C$9/$C$8)*($C$15*C19*($C$7/($C$6+$C$7))+$C$5*($C$6/($C$6+$C$7)))</f>
        <v>0.95590549999999985</v>
      </c>
      <c r="E19" s="2">
        <f t="shared" ref="E19:E44" si="2">IF(D19&gt;($H$3-$H$5),($H$3-$H$5),IF(D19&lt;($H$4+$H$5),($H$4+$H$5),D19))</f>
        <v>0.95590549999999985</v>
      </c>
      <c r="X19" s="31">
        <f t="shared" ref="X19:X26" si="3">X18+10</f>
        <v>30</v>
      </c>
      <c r="Y19" s="31">
        <v>1.2030000000000001</v>
      </c>
      <c r="Z19" s="31">
        <f t="shared" si="0"/>
        <v>1.2030000000000001E-3</v>
      </c>
    </row>
    <row r="20" spans="2:26">
      <c r="B20" s="2">
        <v>0.1</v>
      </c>
      <c r="C20" s="2">
        <f t="shared" si="1"/>
        <v>4.851171497758455E-4</v>
      </c>
      <c r="D20" s="2">
        <f t="shared" ref="D20:D44" si="4">(1+$C$9/$C$8)*($C$15*C20*($C$7/($C$6+$C$7))+$C$5*($C$6/($C$6+$C$7)))</f>
        <v>1.0356022669256213</v>
      </c>
      <c r="E20" s="2">
        <f t="shared" si="2"/>
        <v>1.0356022669256213</v>
      </c>
      <c r="X20" s="31">
        <f t="shared" si="3"/>
        <v>40</v>
      </c>
      <c r="Y20" s="31">
        <v>1.6120000000000001</v>
      </c>
      <c r="Z20" s="31">
        <f t="shared" si="0"/>
        <v>1.6120000000000002E-3</v>
      </c>
    </row>
    <row r="21" spans="2:26">
      <c r="B21" s="2">
        <v>0.2</v>
      </c>
      <c r="C21" s="2">
        <f t="shared" si="1"/>
        <v>5.639387913090614E-4</v>
      </c>
      <c r="D21" s="2">
        <f t="shared" si="4"/>
        <v>1.1145027301003703</v>
      </c>
      <c r="E21" s="2">
        <f t="shared" si="2"/>
        <v>1.1145027301003703</v>
      </c>
      <c r="X21" s="31">
        <f t="shared" si="3"/>
        <v>50</v>
      </c>
      <c r="Y21" s="31">
        <v>2.0230000000000001</v>
      </c>
      <c r="Z21" s="31">
        <f t="shared" si="0"/>
        <v>2.0230000000000001E-3</v>
      </c>
    </row>
    <row r="22" spans="2:26">
      <c r="B22" s="2">
        <v>1.2</v>
      </c>
      <c r="C22" s="2">
        <f t="shared" si="1"/>
        <v>1.1488011710588631E-3</v>
      </c>
      <c r="D22" s="2">
        <f t="shared" si="4"/>
        <v>1.6999499722299221</v>
      </c>
      <c r="E22" s="2">
        <f t="shared" si="2"/>
        <v>1.6999499722299221</v>
      </c>
      <c r="X22" s="31">
        <f t="shared" si="3"/>
        <v>60</v>
      </c>
      <c r="Y22" s="31">
        <v>2.4359999999999999</v>
      </c>
      <c r="Z22" s="31">
        <f t="shared" si="0"/>
        <v>2.4359999999999998E-3</v>
      </c>
    </row>
    <row r="23" spans="2:26">
      <c r="B23" s="2">
        <v>2.2000000000000002</v>
      </c>
      <c r="C23" s="2">
        <f t="shared" si="1"/>
        <v>1.0502758820461232E-3</v>
      </c>
      <c r="D23" s="2">
        <f t="shared" si="4"/>
        <v>1.6013261579281695</v>
      </c>
      <c r="E23" s="2">
        <f t="shared" si="2"/>
        <v>1.6013261579281695</v>
      </c>
      <c r="X23" s="31">
        <f t="shared" si="3"/>
        <v>70</v>
      </c>
      <c r="Y23" s="31">
        <v>2.851</v>
      </c>
      <c r="Z23" s="31">
        <f t="shared" si="0"/>
        <v>2.8509999999999998E-3</v>
      </c>
    </row>
    <row r="24" spans="2:26">
      <c r="B24" s="2">
        <v>3.2</v>
      </c>
      <c r="C24" s="2">
        <f t="shared" si="1"/>
        <v>3.5894662061650493E-4</v>
      </c>
      <c r="D24" s="2">
        <f t="shared" si="4"/>
        <v>0.9093055672371213</v>
      </c>
      <c r="E24" s="2">
        <f t="shared" si="2"/>
        <v>0.9093055672371213</v>
      </c>
      <c r="X24" s="31">
        <f t="shared" si="3"/>
        <v>80</v>
      </c>
      <c r="Y24" s="31">
        <v>3.2669999999999999</v>
      </c>
      <c r="Z24" s="31">
        <f t="shared" si="0"/>
        <v>3.2669999999999999E-3</v>
      </c>
    </row>
    <row r="25" spans="2:26">
      <c r="B25" s="2">
        <v>4.2</v>
      </c>
      <c r="C25" s="2">
        <f t="shared" si="1"/>
        <v>-2.8958167849983663E-4</v>
      </c>
      <c r="D25" s="2">
        <f t="shared" si="4"/>
        <v>0.26012873982166346</v>
      </c>
      <c r="E25" s="2">
        <f t="shared" si="2"/>
        <v>0.26012873982166346</v>
      </c>
      <c r="X25" s="31">
        <f>X24+10</f>
        <v>90</v>
      </c>
      <c r="Y25" s="31">
        <v>3.6819999999999999</v>
      </c>
      <c r="Z25" s="31">
        <f t="shared" si="0"/>
        <v>3.6819999999999999E-3</v>
      </c>
    </row>
    <row r="26" spans="2:26">
      <c r="B26" s="2">
        <v>5.2</v>
      </c>
      <c r="C26" s="2">
        <f t="shared" si="1"/>
        <v>-2.9905508793682216E-4</v>
      </c>
      <c r="D26" s="2">
        <f t="shared" si="4"/>
        <v>0.25064585697524094</v>
      </c>
      <c r="E26" s="2">
        <f t="shared" si="2"/>
        <v>0.25064585697524094</v>
      </c>
      <c r="X26" s="31">
        <f t="shared" si="3"/>
        <v>100</v>
      </c>
      <c r="Y26" s="31">
        <v>4.0960000000000001</v>
      </c>
      <c r="Z26" s="31">
        <f t="shared" si="0"/>
        <v>4.0959999999999998E-3</v>
      </c>
    </row>
    <row r="27" spans="2:26">
      <c r="B27" s="2">
        <v>6.2</v>
      </c>
      <c r="C27" s="2">
        <f t="shared" si="1"/>
        <v>3.3923620125304654E-4</v>
      </c>
      <c r="D27" s="2">
        <f t="shared" si="4"/>
        <v>0.88957543745429946</v>
      </c>
      <c r="E27" s="2">
        <f t="shared" si="2"/>
        <v>0.88957543745429946</v>
      </c>
    </row>
    <row r="28" spans="2:26">
      <c r="B28" s="2">
        <v>7.2</v>
      </c>
      <c r="C28" s="2">
        <f t="shared" si="1"/>
        <v>1.0384501214196998E-3</v>
      </c>
      <c r="D28" s="2">
        <f t="shared" si="4"/>
        <v>1.5894885715411196</v>
      </c>
      <c r="E28" s="2">
        <f t="shared" si="2"/>
        <v>1.5894885715411196</v>
      </c>
      <c r="Y28" s="2" t="s">
        <v>239</v>
      </c>
      <c r="Z28" s="2">
        <f>SLOPE($X$6:$X$26,$Z$6:$Z$26)</f>
        <v>25834.982571399669</v>
      </c>
    </row>
    <row r="29" spans="2:26">
      <c r="B29" s="2">
        <v>8.1999999999999993</v>
      </c>
      <c r="C29" s="2">
        <f t="shared" si="1"/>
        <v>1.1557326189521192E-3</v>
      </c>
      <c r="D29" s="2">
        <f t="shared" si="4"/>
        <v>1.7068883515710711</v>
      </c>
      <c r="E29" s="2">
        <f t="shared" si="2"/>
        <v>1.7068883515710711</v>
      </c>
      <c r="G29" s="6" t="s">
        <v>65</v>
      </c>
      <c r="Y29" s="2" t="s">
        <v>240</v>
      </c>
      <c r="Z29" s="2">
        <f>INTERCEPT($X$6:$X$26,$Z$6:$Z$26)</f>
        <v>-2.5539725627726511</v>
      </c>
    </row>
    <row r="30" spans="2:26">
      <c r="B30" s="2">
        <v>9.1999999999999993</v>
      </c>
      <c r="C30" s="2">
        <f t="shared" si="1"/>
        <v>5.8325470649494746E-4</v>
      </c>
      <c r="D30" s="2">
        <f t="shared" si="4"/>
        <v>1.1338379612014422</v>
      </c>
      <c r="E30" s="2">
        <f t="shared" si="2"/>
        <v>1.1338379612014422</v>
      </c>
      <c r="G30" s="12" t="s">
        <v>64</v>
      </c>
      <c r="H30" s="12">
        <f>H3</f>
        <v>5</v>
      </c>
      <c r="I30" s="12" t="s">
        <v>17</v>
      </c>
      <c r="J30" s="13" t="str">
        <f>TRIM(G30)&amp;"   "&amp;IF(H30&gt;0,"+","")&amp;TRIM(H30)&amp;" "&amp;TRIM(I30)</f>
        <v>V+:   +5 V</v>
      </c>
    </row>
    <row r="31" spans="2:26">
      <c r="B31" s="2">
        <v>10.199999999999999</v>
      </c>
      <c r="C31" s="2">
        <f t="shared" si="1"/>
        <v>-1.5265006335585002E-4</v>
      </c>
      <c r="D31" s="2">
        <f t="shared" si="4"/>
        <v>0.39719728658079406</v>
      </c>
      <c r="E31" s="2">
        <f t="shared" si="2"/>
        <v>0.39719728658079406</v>
      </c>
      <c r="G31" s="12" t="s">
        <v>66</v>
      </c>
      <c r="H31" s="12">
        <f>H4</f>
        <v>-5</v>
      </c>
      <c r="I31" s="12" t="s">
        <v>17</v>
      </c>
      <c r="J31" s="13" t="str">
        <f t="shared" ref="J31:J32" si="5">TRIM(G31)&amp;"   "&amp;IF(H31&gt;0,"+","")&amp;TRIM(H31)&amp;" "&amp;TRIM(I31)</f>
        <v>V-:   -5 V</v>
      </c>
    </row>
    <row r="32" spans="2:26">
      <c r="B32" s="2">
        <v>11.2</v>
      </c>
      <c r="C32" s="2">
        <f t="shared" si="1"/>
        <v>-3.7539423899817567E-4</v>
      </c>
      <c r="D32" s="2">
        <f t="shared" si="4"/>
        <v>0.17423036676282611</v>
      </c>
      <c r="E32" s="2">
        <f t="shared" si="2"/>
        <v>0.17423036676282611</v>
      </c>
      <c r="G32" s="12" t="s">
        <v>29</v>
      </c>
      <c r="H32" s="12">
        <f>H9</f>
        <v>-3.8999999999999999E-4</v>
      </c>
      <c r="I32" s="12" t="s">
        <v>17</v>
      </c>
      <c r="J32" s="13" t="str">
        <f t="shared" si="5"/>
        <v>Vin:   -0.00039 V</v>
      </c>
    </row>
    <row r="33" spans="2:10">
      <c r="B33" s="2">
        <v>12.2</v>
      </c>
      <c r="C33" s="2">
        <f t="shared" si="1"/>
        <v>1.1981214741612912E-4</v>
      </c>
      <c r="D33" s="2">
        <f t="shared" si="4"/>
        <v>0.66993195956354512</v>
      </c>
      <c r="E33" s="2">
        <f t="shared" si="2"/>
        <v>0.66993195956354512</v>
      </c>
      <c r="G33" s="12" t="s">
        <v>67</v>
      </c>
      <c r="H33" s="12">
        <f>C3</f>
        <v>5</v>
      </c>
      <c r="I33" s="12" t="s">
        <v>16</v>
      </c>
      <c r="J33" s="13" t="str">
        <f t="shared" ref="J33:J40" si="6">TRIM(G33)&amp;"   "&amp;TRIM(H33)&amp;" "&amp;TRIM(I33)</f>
        <v>R1:   5 K</v>
      </c>
    </row>
    <row r="34" spans="2:10">
      <c r="B34" s="2">
        <v>13.2</v>
      </c>
      <c r="C34" s="2">
        <f t="shared" si="1"/>
        <v>8.776786279790106E-4</v>
      </c>
      <c r="D34" s="2">
        <f t="shared" si="4"/>
        <v>1.4285563066069895</v>
      </c>
      <c r="E34" s="2">
        <f t="shared" si="2"/>
        <v>1.4285563066069895</v>
      </c>
      <c r="G34" s="12" t="s">
        <v>72</v>
      </c>
      <c r="H34" s="12">
        <f>C4</f>
        <v>1</v>
      </c>
      <c r="I34" s="12" t="s">
        <v>16</v>
      </c>
      <c r="J34" s="13" t="str">
        <f t="shared" si="6"/>
        <v>R2:   1 K</v>
      </c>
    </row>
    <row r="35" spans="2:10">
      <c r="B35" s="2">
        <v>14.2</v>
      </c>
      <c r="C35" s="2">
        <f t="shared" si="1"/>
        <v>1.2014262555412986E-3</v>
      </c>
      <c r="D35" s="2">
        <f t="shared" si="4"/>
        <v>1.7526276817968398</v>
      </c>
      <c r="E35" s="2">
        <f t="shared" si="2"/>
        <v>1.7526276817968398</v>
      </c>
      <c r="G35" s="12" t="s">
        <v>73</v>
      </c>
      <c r="H35" s="12">
        <f>C6</f>
        <v>1</v>
      </c>
      <c r="I35" s="12" t="s">
        <v>16</v>
      </c>
      <c r="J35" s="13" t="str">
        <f t="shared" si="6"/>
        <v>R3:   1 K</v>
      </c>
    </row>
    <row r="36" spans="2:10">
      <c r="B36" s="2">
        <v>15.2</v>
      </c>
      <c r="C36" s="2">
        <f t="shared" si="1"/>
        <v>7.9340295436090532E-4</v>
      </c>
      <c r="D36" s="2">
        <f t="shared" si="4"/>
        <v>1.3441963573152662</v>
      </c>
      <c r="E36" s="2">
        <f t="shared" si="2"/>
        <v>1.3441963573152662</v>
      </c>
      <c r="G36" s="12" t="s">
        <v>243</v>
      </c>
      <c r="H36" s="12">
        <f>C7</f>
        <v>1</v>
      </c>
      <c r="I36" s="12" t="s">
        <v>16</v>
      </c>
      <c r="J36" s="13" t="str">
        <f t="shared" si="6"/>
        <v>R4:   1 K</v>
      </c>
    </row>
    <row r="37" spans="2:10">
      <c r="B37" s="2">
        <v>16.2</v>
      </c>
      <c r="C37" s="2">
        <f t="shared" si="1"/>
        <v>2.8743465847223175E-5</v>
      </c>
      <c r="D37" s="2">
        <f t="shared" si="4"/>
        <v>0.57877220931307038</v>
      </c>
      <c r="E37" s="2">
        <f t="shared" si="2"/>
        <v>0.57877220931307038</v>
      </c>
      <c r="G37" s="12" t="s">
        <v>244</v>
      </c>
      <c r="H37" s="12">
        <f>C8</f>
        <v>1</v>
      </c>
      <c r="I37" s="12" t="s">
        <v>16</v>
      </c>
      <c r="J37" s="13" t="str">
        <f t="shared" si="6"/>
        <v>R5:   1 K</v>
      </c>
    </row>
    <row r="38" spans="2:10">
      <c r="B38" s="2">
        <v>17.2</v>
      </c>
      <c r="C38" s="2">
        <f t="shared" si="1"/>
        <v>-3.8952780266817295E-4</v>
      </c>
      <c r="D38" s="2">
        <f t="shared" si="4"/>
        <v>0.16008266952915884</v>
      </c>
      <c r="E38" s="2">
        <f t="shared" si="2"/>
        <v>0.16008266952915884</v>
      </c>
      <c r="G38" s="12" t="s">
        <v>245</v>
      </c>
      <c r="H38" s="12">
        <f>C9</f>
        <v>1</v>
      </c>
      <c r="I38" s="12" t="s">
        <v>16</v>
      </c>
      <c r="J38" s="13" t="str">
        <f t="shared" si="6"/>
        <v>R6:   1 K</v>
      </c>
    </row>
    <row r="39" spans="2:10">
      <c r="B39" s="2">
        <v>18.2</v>
      </c>
      <c r="C39" s="2">
        <f t="shared" si="1"/>
        <v>-7.685417586901158E-5</v>
      </c>
      <c r="D39" s="2">
        <f t="shared" si="4"/>
        <v>0.47306896995511932</v>
      </c>
      <c r="E39" s="2">
        <f t="shared" si="2"/>
        <v>0.47306896995511932</v>
      </c>
      <c r="G39" s="12" t="s">
        <v>242</v>
      </c>
      <c r="H39" s="12">
        <f>C12</f>
        <v>1</v>
      </c>
      <c r="I39" s="12" t="s">
        <v>16</v>
      </c>
      <c r="J39" s="13" t="str">
        <f t="shared" si="6"/>
        <v>Rb:   1 K</v>
      </c>
    </row>
    <row r="40" spans="2:10">
      <c r="B40" s="2">
        <v>19.2</v>
      </c>
      <c r="C40" s="2">
        <f t="shared" si="1"/>
        <v>6.792936557338666E-4</v>
      </c>
      <c r="D40" s="2">
        <f t="shared" si="4"/>
        <v>1.2299729493896003</v>
      </c>
      <c r="E40" s="2">
        <f t="shared" si="2"/>
        <v>1.2299729493896003</v>
      </c>
      <c r="G40" s="12" t="s">
        <v>68</v>
      </c>
      <c r="H40" s="12">
        <f>C13</f>
        <v>1000</v>
      </c>
      <c r="I40" s="12" t="s">
        <v>16</v>
      </c>
      <c r="J40" s="13" t="str">
        <f t="shared" si="6"/>
        <v>RF:   1000 K</v>
      </c>
    </row>
    <row r="41" spans="2:10">
      <c r="B41" s="2">
        <v>20.2</v>
      </c>
      <c r="C41" s="2">
        <f t="shared" si="1"/>
        <v>1.1837168629191632E-3</v>
      </c>
      <c r="D41" s="2">
        <f t="shared" si="4"/>
        <v>1.7349005797820825</v>
      </c>
      <c r="E41" s="2">
        <f t="shared" si="2"/>
        <v>1.7349005797820825</v>
      </c>
    </row>
    <row r="42" spans="2:10">
      <c r="B42" s="2">
        <v>21.2</v>
      </c>
      <c r="C42" s="2">
        <f t="shared" si="1"/>
        <v>9.7265107526752089E-4</v>
      </c>
      <c r="D42" s="2">
        <f t="shared" si="4"/>
        <v>1.5236237263427883</v>
      </c>
      <c r="E42" s="2">
        <f t="shared" si="2"/>
        <v>1.5236237263427883</v>
      </c>
    </row>
    <row r="43" spans="2:10">
      <c r="B43" s="2">
        <v>22.2</v>
      </c>
      <c r="C43" s="2">
        <f t="shared" si="1"/>
        <v>2.4014920456610992E-4</v>
      </c>
      <c r="D43" s="2">
        <f t="shared" si="4"/>
        <v>0.79038935377067598</v>
      </c>
      <c r="E43" s="2">
        <f t="shared" si="2"/>
        <v>0.79038935377067598</v>
      </c>
    </row>
    <row r="44" spans="2:10">
      <c r="B44" s="2">
        <v>23.2</v>
      </c>
      <c r="C44" s="2">
        <f t="shared" si="1"/>
        <v>-3.4032990736764478E-4</v>
      </c>
      <c r="D44" s="2">
        <f t="shared" si="4"/>
        <v>0.20932976272498749</v>
      </c>
      <c r="E44" s="2">
        <f t="shared" si="2"/>
        <v>0.20932976272498749</v>
      </c>
    </row>
    <row r="55" spans="31:31">
      <c r="AE55" s="6" t="s">
        <v>259</v>
      </c>
    </row>
    <row r="56" spans="31:31">
      <c r="AE56" s="2" t="s">
        <v>260</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C72E95-EA4E-4B0B-B336-828C49B4FAAB}">
  <sheetPr codeName="Sheet2"/>
  <dimension ref="B1:P48"/>
  <sheetViews>
    <sheetView zoomScale="85" zoomScaleNormal="85" workbookViewId="0">
      <selection activeCell="C3" sqref="C3"/>
    </sheetView>
  </sheetViews>
  <sheetFormatPr defaultColWidth="9.140625" defaultRowHeight="15"/>
  <cols>
    <col min="1" max="1" width="5.28515625" style="2" customWidth="1"/>
    <col min="2" max="2" width="9.140625" style="2"/>
    <col min="3" max="3" width="10.42578125" style="2" customWidth="1"/>
    <col min="4" max="6" width="9.140625" style="2"/>
    <col min="7" max="7" width="10.7109375" style="2" customWidth="1"/>
    <col min="8" max="16384" width="9.140625" style="2"/>
  </cols>
  <sheetData>
    <row r="1" spans="2:16" ht="46.5">
      <c r="B1" s="1" t="s">
        <v>40</v>
      </c>
      <c r="P1" s="11"/>
    </row>
    <row r="2" spans="2:16" ht="15.75" thickBot="1">
      <c r="B2" s="2" t="s">
        <v>229</v>
      </c>
      <c r="G2" s="6" t="s">
        <v>36</v>
      </c>
      <c r="M2" s="10"/>
    </row>
    <row r="3" spans="2:16" ht="15.75" thickBot="1">
      <c r="B3" s="2" t="s">
        <v>8</v>
      </c>
      <c r="C3" s="4">
        <v>1</v>
      </c>
      <c r="D3" s="2" t="s">
        <v>20</v>
      </c>
      <c r="G3" s="2" t="s">
        <v>9</v>
      </c>
      <c r="H3" s="4">
        <v>5</v>
      </c>
      <c r="I3" s="2" t="s">
        <v>18</v>
      </c>
    </row>
    <row r="4" spans="2:16" ht="15.75" thickBot="1">
      <c r="B4" s="2" t="s">
        <v>25</v>
      </c>
      <c r="C4" s="4">
        <v>1</v>
      </c>
      <c r="D4" s="2" t="s">
        <v>21</v>
      </c>
      <c r="G4" s="2" t="s">
        <v>10</v>
      </c>
      <c r="H4" s="5">
        <v>0</v>
      </c>
      <c r="I4" s="2" t="s">
        <v>19</v>
      </c>
      <c r="M4" s="10"/>
    </row>
    <row r="5" spans="2:16" ht="15.75" thickBot="1">
      <c r="G5" s="2" t="s">
        <v>31</v>
      </c>
      <c r="H5" s="4">
        <v>1.3</v>
      </c>
      <c r="I5" s="2" t="s">
        <v>32</v>
      </c>
    </row>
    <row r="7" spans="2:16" ht="15.75" thickBot="1">
      <c r="G7" s="6" t="s">
        <v>57</v>
      </c>
    </row>
    <row r="8" spans="2:16" ht="19.5" thickBot="1">
      <c r="G8" s="6" t="s">
        <v>55</v>
      </c>
      <c r="H8" s="4">
        <v>2.5299999999999998</v>
      </c>
      <c r="I8" s="2" t="s">
        <v>17</v>
      </c>
      <c r="P8" s="11"/>
    </row>
    <row r="9" spans="2:16" ht="15.75" thickBot="1">
      <c r="G9" s="6" t="s">
        <v>56</v>
      </c>
      <c r="H9" s="4">
        <v>2.82</v>
      </c>
      <c r="I9" s="2" t="s">
        <v>17</v>
      </c>
    </row>
    <row r="10" spans="2:16">
      <c r="B10" s="7" t="s">
        <v>6</v>
      </c>
      <c r="C10" s="7" t="s">
        <v>7</v>
      </c>
      <c r="D10" s="7" t="s">
        <v>3</v>
      </c>
      <c r="E10" s="7" t="s">
        <v>8</v>
      </c>
      <c r="G10" s="6" t="s">
        <v>34</v>
      </c>
      <c r="H10" s="3">
        <f>IF(H8&gt;H9,$H$3-$H$5,$H$4+$H$5)</f>
        <v>1.3</v>
      </c>
      <c r="I10" s="2" t="s">
        <v>17</v>
      </c>
    </row>
    <row r="11" spans="2:16">
      <c r="B11" s="2">
        <v>0</v>
      </c>
      <c r="C11" s="2">
        <f t="shared" ref="C11:C48" si="0">$C$4*SIN(B11)+1</f>
        <v>1</v>
      </c>
      <c r="D11" s="2">
        <f t="shared" ref="D11:D48" si="1">IF(C11&gt;$C$3,$H$3-$H$5,$H$4+$H$5)</f>
        <v>1.3</v>
      </c>
      <c r="E11" s="2">
        <f t="shared" ref="E11:E48" si="2">$C$3</f>
        <v>1</v>
      </c>
    </row>
    <row r="12" spans="2:16">
      <c r="B12" s="2">
        <f>B11+0.5</f>
        <v>0.5</v>
      </c>
      <c r="C12" s="2">
        <f t="shared" si="0"/>
        <v>1.479425538604203</v>
      </c>
      <c r="D12" s="2">
        <f t="shared" si="1"/>
        <v>3.7</v>
      </c>
      <c r="E12" s="2">
        <f t="shared" si="2"/>
        <v>1</v>
      </c>
    </row>
    <row r="13" spans="2:16">
      <c r="B13" s="2">
        <f t="shared" ref="B13:B48" si="3">B12+0.5</f>
        <v>1</v>
      </c>
      <c r="C13" s="2">
        <f t="shared" si="0"/>
        <v>1.8414709848078965</v>
      </c>
      <c r="D13" s="2">
        <f t="shared" si="1"/>
        <v>3.7</v>
      </c>
      <c r="E13" s="2">
        <f t="shared" si="2"/>
        <v>1</v>
      </c>
    </row>
    <row r="14" spans="2:16">
      <c r="B14" s="2">
        <f t="shared" si="3"/>
        <v>1.5</v>
      </c>
      <c r="C14" s="2">
        <f t="shared" si="0"/>
        <v>1.9974949866040546</v>
      </c>
      <c r="D14" s="2">
        <f t="shared" si="1"/>
        <v>3.7</v>
      </c>
      <c r="E14" s="2">
        <f t="shared" si="2"/>
        <v>1</v>
      </c>
    </row>
    <row r="15" spans="2:16">
      <c r="B15" s="2">
        <f t="shared" si="3"/>
        <v>2</v>
      </c>
      <c r="C15" s="2">
        <f t="shared" si="0"/>
        <v>1.9092974268256817</v>
      </c>
      <c r="D15" s="2">
        <f t="shared" si="1"/>
        <v>3.7</v>
      </c>
      <c r="E15" s="2">
        <f t="shared" si="2"/>
        <v>1</v>
      </c>
    </row>
    <row r="16" spans="2:16">
      <c r="B16" s="2">
        <f t="shared" si="3"/>
        <v>2.5</v>
      </c>
      <c r="C16" s="2">
        <f t="shared" si="0"/>
        <v>1.5984721441039564</v>
      </c>
      <c r="D16" s="2">
        <f t="shared" si="1"/>
        <v>3.7</v>
      </c>
      <c r="E16" s="2">
        <f t="shared" si="2"/>
        <v>1</v>
      </c>
    </row>
    <row r="17" spans="2:10">
      <c r="B17" s="2">
        <f t="shared" si="3"/>
        <v>3</v>
      </c>
      <c r="C17" s="2">
        <f t="shared" si="0"/>
        <v>1.1411200080598671</v>
      </c>
      <c r="D17" s="2">
        <f t="shared" si="1"/>
        <v>3.7</v>
      </c>
      <c r="E17" s="2">
        <f t="shared" si="2"/>
        <v>1</v>
      </c>
    </row>
    <row r="18" spans="2:10">
      <c r="B18" s="2">
        <f t="shared" si="3"/>
        <v>3.5</v>
      </c>
      <c r="C18" s="2">
        <f t="shared" si="0"/>
        <v>0.64921677231038011</v>
      </c>
      <c r="D18" s="2">
        <f t="shared" si="1"/>
        <v>1.3</v>
      </c>
      <c r="E18" s="2">
        <f t="shared" si="2"/>
        <v>1</v>
      </c>
    </row>
    <row r="19" spans="2:10">
      <c r="B19" s="2">
        <f t="shared" si="3"/>
        <v>4</v>
      </c>
      <c r="C19" s="2">
        <f t="shared" si="0"/>
        <v>0.2431975046920718</v>
      </c>
      <c r="D19" s="2">
        <f t="shared" si="1"/>
        <v>1.3</v>
      </c>
      <c r="E19" s="2">
        <f t="shared" si="2"/>
        <v>1</v>
      </c>
    </row>
    <row r="20" spans="2:10">
      <c r="B20" s="2">
        <f t="shared" si="3"/>
        <v>4.5</v>
      </c>
      <c r="C20" s="2">
        <f t="shared" si="0"/>
        <v>2.2469882334902991E-2</v>
      </c>
      <c r="D20" s="2">
        <f t="shared" si="1"/>
        <v>1.3</v>
      </c>
      <c r="E20" s="2">
        <f t="shared" si="2"/>
        <v>1</v>
      </c>
    </row>
    <row r="21" spans="2:10">
      <c r="B21" s="2">
        <f t="shared" si="3"/>
        <v>5</v>
      </c>
      <c r="C21" s="2">
        <f t="shared" si="0"/>
        <v>4.1075725336861546E-2</v>
      </c>
      <c r="D21" s="2">
        <f t="shared" si="1"/>
        <v>1.3</v>
      </c>
      <c r="E21" s="2">
        <f t="shared" si="2"/>
        <v>1</v>
      </c>
    </row>
    <row r="22" spans="2:10">
      <c r="B22" s="2">
        <f t="shared" si="3"/>
        <v>5.5</v>
      </c>
      <c r="C22" s="2">
        <f t="shared" si="0"/>
        <v>0.29445967442960808</v>
      </c>
      <c r="D22" s="2">
        <f t="shared" si="1"/>
        <v>1.3</v>
      </c>
      <c r="E22" s="2">
        <f t="shared" si="2"/>
        <v>1</v>
      </c>
    </row>
    <row r="23" spans="2:10">
      <c r="B23" s="2">
        <f t="shared" si="3"/>
        <v>6</v>
      </c>
      <c r="C23" s="2">
        <f t="shared" si="0"/>
        <v>0.72058450180107414</v>
      </c>
      <c r="D23" s="2">
        <f t="shared" si="1"/>
        <v>1.3</v>
      </c>
      <c r="E23" s="2">
        <f t="shared" si="2"/>
        <v>1</v>
      </c>
    </row>
    <row r="24" spans="2:10">
      <c r="B24" s="2">
        <f t="shared" si="3"/>
        <v>6.5</v>
      </c>
      <c r="C24" s="2">
        <f t="shared" si="0"/>
        <v>1.2151199880878156</v>
      </c>
      <c r="D24" s="2">
        <f t="shared" si="1"/>
        <v>3.7</v>
      </c>
      <c r="E24" s="2">
        <f t="shared" si="2"/>
        <v>1</v>
      </c>
    </row>
    <row r="25" spans="2:10">
      <c r="B25" s="2">
        <f t="shared" si="3"/>
        <v>7</v>
      </c>
      <c r="C25" s="2">
        <f t="shared" si="0"/>
        <v>1.6569865987187891</v>
      </c>
      <c r="D25" s="2">
        <f t="shared" si="1"/>
        <v>3.7</v>
      </c>
      <c r="E25" s="2">
        <f t="shared" si="2"/>
        <v>1</v>
      </c>
    </row>
    <row r="26" spans="2:10">
      <c r="B26" s="2">
        <f t="shared" si="3"/>
        <v>7.5</v>
      </c>
      <c r="C26" s="2">
        <f t="shared" si="0"/>
        <v>1.9379999767747389</v>
      </c>
      <c r="D26" s="2">
        <f t="shared" si="1"/>
        <v>3.7</v>
      </c>
      <c r="E26" s="2">
        <f t="shared" si="2"/>
        <v>1</v>
      </c>
    </row>
    <row r="27" spans="2:10">
      <c r="B27" s="2">
        <f t="shared" si="3"/>
        <v>8</v>
      </c>
      <c r="C27" s="2">
        <f t="shared" si="0"/>
        <v>1.9893582466233819</v>
      </c>
      <c r="D27" s="2">
        <f t="shared" si="1"/>
        <v>3.7</v>
      </c>
      <c r="E27" s="2">
        <f t="shared" si="2"/>
        <v>1</v>
      </c>
    </row>
    <row r="28" spans="2:10">
      <c r="B28" s="2">
        <f t="shared" si="3"/>
        <v>8.5</v>
      </c>
      <c r="C28" s="2">
        <f t="shared" si="0"/>
        <v>1.7984871126234903</v>
      </c>
      <c r="D28" s="2">
        <f t="shared" si="1"/>
        <v>3.7</v>
      </c>
      <c r="E28" s="2">
        <f t="shared" si="2"/>
        <v>1</v>
      </c>
    </row>
    <row r="29" spans="2:10">
      <c r="B29" s="2">
        <f t="shared" si="3"/>
        <v>9</v>
      </c>
      <c r="C29" s="2">
        <f t="shared" si="0"/>
        <v>1.4121184852417565</v>
      </c>
      <c r="D29" s="2">
        <f t="shared" si="1"/>
        <v>3.7</v>
      </c>
      <c r="E29" s="2">
        <f t="shared" si="2"/>
        <v>1</v>
      </c>
      <c r="G29" s="6" t="s">
        <v>65</v>
      </c>
    </row>
    <row r="30" spans="2:10">
      <c r="B30" s="2">
        <f t="shared" si="3"/>
        <v>9.5</v>
      </c>
      <c r="C30" s="2">
        <f t="shared" si="0"/>
        <v>0.92484887953819073</v>
      </c>
      <c r="D30" s="2">
        <f t="shared" si="1"/>
        <v>1.3</v>
      </c>
      <c r="E30" s="2">
        <f t="shared" si="2"/>
        <v>1</v>
      </c>
      <c r="G30" s="12" t="s">
        <v>64</v>
      </c>
      <c r="H30" s="12">
        <f>H3</f>
        <v>5</v>
      </c>
      <c r="I30" s="12" t="s">
        <v>17</v>
      </c>
      <c r="J30" s="13" t="str">
        <f>TRIM(G30)&amp;"   "&amp;IF(H30&gt;0,"+","")&amp;TRIM(H30)&amp;" "&amp;TRIM(I30)</f>
        <v>V+:   +5 V</v>
      </c>
    </row>
    <row r="31" spans="2:10">
      <c r="B31" s="2">
        <f t="shared" si="3"/>
        <v>10</v>
      </c>
      <c r="C31" s="2">
        <f t="shared" si="0"/>
        <v>0.45597888911063023</v>
      </c>
      <c r="D31" s="2">
        <f t="shared" si="1"/>
        <v>1.3</v>
      </c>
      <c r="E31" s="2">
        <f t="shared" si="2"/>
        <v>1</v>
      </c>
      <c r="G31" s="12" t="s">
        <v>66</v>
      </c>
      <c r="H31" s="12">
        <f>H4</f>
        <v>0</v>
      </c>
      <c r="I31" s="12" t="s">
        <v>17</v>
      </c>
      <c r="J31" s="13" t="str">
        <f>TRIM(G31)&amp;"   "&amp;IF(H31&gt;0,"+","")&amp;TRIM(H31)&amp;" "&amp;TRIM(I31)</f>
        <v>V-:   0 V</v>
      </c>
    </row>
    <row r="32" spans="2:10">
      <c r="B32" s="2">
        <f t="shared" si="3"/>
        <v>10.5</v>
      </c>
      <c r="C32" s="2">
        <f t="shared" si="0"/>
        <v>0.12030424002832996</v>
      </c>
      <c r="D32" s="2">
        <f t="shared" si="1"/>
        <v>1.3</v>
      </c>
      <c r="E32" s="2">
        <f t="shared" si="2"/>
        <v>1</v>
      </c>
      <c r="G32" s="12" t="s">
        <v>55</v>
      </c>
      <c r="H32" s="12">
        <f>H8</f>
        <v>2.5299999999999998</v>
      </c>
      <c r="I32" s="12" t="s">
        <v>17</v>
      </c>
      <c r="J32" s="13" t="str">
        <f>TRIM(G32)&amp;"   "&amp;IF(H32&gt;0,"+","")&amp;TRIM(H32)&amp;" "&amp;TRIM(I32)</f>
        <v>Vin(+):   +2.53 V</v>
      </c>
    </row>
    <row r="33" spans="2:10">
      <c r="B33" s="2">
        <f t="shared" si="3"/>
        <v>11</v>
      </c>
      <c r="C33" s="2">
        <f t="shared" si="0"/>
        <v>9.7934492965245923E-6</v>
      </c>
      <c r="D33" s="2">
        <f t="shared" si="1"/>
        <v>1.3</v>
      </c>
      <c r="E33" s="2">
        <f t="shared" si="2"/>
        <v>1</v>
      </c>
      <c r="G33" s="12" t="s">
        <v>56</v>
      </c>
      <c r="H33" s="12">
        <f>H9</f>
        <v>2.82</v>
      </c>
      <c r="I33" s="12" t="s">
        <v>17</v>
      </c>
      <c r="J33" s="13" t="str">
        <f>TRIM(G33)&amp;"   "&amp;IF(H33&gt;0,"+","")&amp;TRIM(H33)&amp;" "&amp;TRIM(I33)</f>
        <v>Vin(-):   +2.82 V</v>
      </c>
    </row>
    <row r="34" spans="2:10">
      <c r="B34" s="2">
        <f t="shared" si="3"/>
        <v>11.5</v>
      </c>
      <c r="C34" s="2">
        <f t="shared" si="0"/>
        <v>0.12454782531157149</v>
      </c>
      <c r="D34" s="2">
        <f t="shared" si="1"/>
        <v>1.3</v>
      </c>
      <c r="E34" s="2">
        <f t="shared" si="2"/>
        <v>1</v>
      </c>
    </row>
    <row r="35" spans="2:10">
      <c r="B35" s="2">
        <f t="shared" si="3"/>
        <v>12</v>
      </c>
      <c r="C35" s="2">
        <f t="shared" si="0"/>
        <v>0.46342708199956506</v>
      </c>
      <c r="D35" s="2">
        <f t="shared" si="1"/>
        <v>1.3</v>
      </c>
      <c r="E35" s="2">
        <f t="shared" si="2"/>
        <v>1</v>
      </c>
    </row>
    <row r="36" spans="2:10">
      <c r="B36" s="2">
        <f t="shared" si="3"/>
        <v>12.5</v>
      </c>
      <c r="C36" s="2">
        <f t="shared" si="0"/>
        <v>0.93367810264879936</v>
      </c>
      <c r="D36" s="2">
        <f t="shared" si="1"/>
        <v>1.3</v>
      </c>
      <c r="E36" s="2">
        <f t="shared" si="2"/>
        <v>1</v>
      </c>
    </row>
    <row r="37" spans="2:10">
      <c r="B37" s="2">
        <f t="shared" si="3"/>
        <v>13</v>
      </c>
      <c r="C37" s="2">
        <f t="shared" si="0"/>
        <v>1.420167036826641</v>
      </c>
      <c r="D37" s="2">
        <f t="shared" si="1"/>
        <v>3.7</v>
      </c>
      <c r="E37" s="2">
        <f t="shared" si="2"/>
        <v>1</v>
      </c>
    </row>
    <row r="38" spans="2:10">
      <c r="B38" s="2">
        <f t="shared" si="3"/>
        <v>13.5</v>
      </c>
      <c r="C38" s="2">
        <f t="shared" si="0"/>
        <v>1.803784426551621</v>
      </c>
      <c r="D38" s="2">
        <f t="shared" si="1"/>
        <v>3.7</v>
      </c>
      <c r="E38" s="2">
        <f t="shared" si="2"/>
        <v>1</v>
      </c>
    </row>
    <row r="39" spans="2:10">
      <c r="B39" s="2">
        <f t="shared" si="3"/>
        <v>14</v>
      </c>
      <c r="C39" s="2">
        <f t="shared" si="0"/>
        <v>1.9906073556948702</v>
      </c>
      <c r="D39" s="2">
        <f t="shared" si="1"/>
        <v>3.7</v>
      </c>
      <c r="E39" s="2">
        <f t="shared" si="2"/>
        <v>1</v>
      </c>
    </row>
    <row r="40" spans="2:10">
      <c r="B40" s="2">
        <f t="shared" si="3"/>
        <v>14.5</v>
      </c>
      <c r="C40" s="2">
        <f t="shared" si="0"/>
        <v>1.9348950555246831</v>
      </c>
      <c r="D40" s="2">
        <f t="shared" si="1"/>
        <v>3.7</v>
      </c>
      <c r="E40" s="2">
        <f t="shared" si="2"/>
        <v>1</v>
      </c>
    </row>
    <row r="41" spans="2:10">
      <c r="B41" s="2">
        <f t="shared" si="3"/>
        <v>15</v>
      </c>
      <c r="C41" s="2">
        <f t="shared" si="0"/>
        <v>1.6502878401571168</v>
      </c>
      <c r="D41" s="2">
        <f t="shared" si="1"/>
        <v>3.7</v>
      </c>
      <c r="E41" s="2">
        <f t="shared" si="2"/>
        <v>1</v>
      </c>
    </row>
    <row r="42" spans="2:10">
      <c r="B42" s="2">
        <f t="shared" si="3"/>
        <v>15.5</v>
      </c>
      <c r="C42" s="2">
        <f t="shared" si="0"/>
        <v>1.2064674819377965</v>
      </c>
      <c r="D42" s="2">
        <f t="shared" si="1"/>
        <v>3.7</v>
      </c>
      <c r="E42" s="2">
        <f t="shared" si="2"/>
        <v>1</v>
      </c>
    </row>
    <row r="43" spans="2:10">
      <c r="B43" s="2">
        <f t="shared" si="3"/>
        <v>16</v>
      </c>
      <c r="C43" s="2">
        <f t="shared" si="0"/>
        <v>0.7120966833349347</v>
      </c>
      <c r="D43" s="2">
        <f t="shared" si="1"/>
        <v>1.3</v>
      </c>
      <c r="E43" s="2">
        <f t="shared" si="2"/>
        <v>1</v>
      </c>
    </row>
    <row r="44" spans="2:10">
      <c r="B44" s="2">
        <f t="shared" si="3"/>
        <v>16.5</v>
      </c>
      <c r="C44" s="2">
        <f t="shared" si="0"/>
        <v>0.28821465763087695</v>
      </c>
      <c r="D44" s="2">
        <f t="shared" si="1"/>
        <v>1.3</v>
      </c>
      <c r="E44" s="2">
        <f t="shared" si="2"/>
        <v>1</v>
      </c>
    </row>
    <row r="45" spans="2:10">
      <c r="B45" s="2">
        <f t="shared" si="3"/>
        <v>17</v>
      </c>
      <c r="C45" s="2">
        <f t="shared" si="0"/>
        <v>3.8602508120443191E-2</v>
      </c>
      <c r="D45" s="2">
        <f t="shared" si="1"/>
        <v>1.3</v>
      </c>
      <c r="E45" s="2">
        <f t="shared" si="2"/>
        <v>1</v>
      </c>
    </row>
    <row r="46" spans="2:10">
      <c r="B46" s="2">
        <f t="shared" si="3"/>
        <v>17.5</v>
      </c>
      <c r="C46" s="2">
        <f t="shared" si="0"/>
        <v>2.4373994531842413E-2</v>
      </c>
      <c r="D46" s="2">
        <f t="shared" si="1"/>
        <v>1.3</v>
      </c>
      <c r="E46" s="2">
        <f t="shared" si="2"/>
        <v>1</v>
      </c>
    </row>
    <row r="47" spans="2:10">
      <c r="B47" s="2">
        <f t="shared" si="3"/>
        <v>18</v>
      </c>
      <c r="C47" s="2">
        <f t="shared" si="0"/>
        <v>0.24901275322832395</v>
      </c>
      <c r="D47" s="2">
        <f t="shared" si="1"/>
        <v>1.3</v>
      </c>
      <c r="E47" s="2">
        <f t="shared" si="2"/>
        <v>1</v>
      </c>
    </row>
    <row r="48" spans="2:10">
      <c r="B48" s="2">
        <f t="shared" si="3"/>
        <v>18.5</v>
      </c>
      <c r="C48" s="2">
        <f t="shared" si="0"/>
        <v>0.65751938153038747</v>
      </c>
      <c r="D48" s="2">
        <f t="shared" si="1"/>
        <v>1.3</v>
      </c>
      <c r="E48" s="2">
        <f t="shared" si="2"/>
        <v>1</v>
      </c>
    </row>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456B1D-C77E-4B41-85A5-1856C9718846}">
  <dimension ref="B1:W102"/>
  <sheetViews>
    <sheetView zoomScale="85" zoomScaleNormal="85" workbookViewId="0">
      <selection activeCell="E2" sqref="E2:G5"/>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10" ht="47.25" thickBot="1">
      <c r="B1" s="1" t="s">
        <v>225</v>
      </c>
    </row>
    <row r="2" spans="2:10" ht="15.75" thickBot="1">
      <c r="B2" s="2" t="s">
        <v>12</v>
      </c>
      <c r="C2" s="4">
        <v>1</v>
      </c>
      <c r="D2" s="2" t="s">
        <v>16</v>
      </c>
      <c r="E2" s="33" t="s">
        <v>287</v>
      </c>
      <c r="F2" s="9">
        <f>2*PI()*C10</f>
        <v>6283.1853071795858</v>
      </c>
      <c r="H2" s="6" t="s">
        <v>36</v>
      </c>
    </row>
    <row r="3" spans="2:10" ht="15.75" thickBot="1">
      <c r="B3" s="2" t="s">
        <v>82</v>
      </c>
      <c r="C3" s="4">
        <v>0.1</v>
      </c>
      <c r="D3" s="2" t="s">
        <v>83</v>
      </c>
      <c r="E3" s="2" t="s">
        <v>291</v>
      </c>
      <c r="F3" s="9">
        <f>1/SQRT(1+(F2*C2*1000*C3*0.000001)^2)</f>
        <v>0.84673301596483053</v>
      </c>
      <c r="H3" s="2" t="s">
        <v>9</v>
      </c>
      <c r="I3" s="4">
        <v>5</v>
      </c>
      <c r="J3" s="2" t="s">
        <v>18</v>
      </c>
    </row>
    <row r="4" spans="2:10" ht="15.75" thickBot="1">
      <c r="B4" s="2" t="s">
        <v>170</v>
      </c>
      <c r="C4" s="4">
        <v>1</v>
      </c>
      <c r="D4" s="2" t="s">
        <v>16</v>
      </c>
      <c r="E4" s="33" t="s">
        <v>288</v>
      </c>
      <c r="F4" s="9">
        <f>-ATAN(F2*C2*1000*C3*0.000001)</f>
        <v>-0.5609821161086237</v>
      </c>
      <c r="G4" s="2" t="s">
        <v>290</v>
      </c>
      <c r="H4" s="2" t="s">
        <v>10</v>
      </c>
      <c r="I4" s="5">
        <v>-5</v>
      </c>
      <c r="J4" s="2" t="s">
        <v>19</v>
      </c>
    </row>
    <row r="5" spans="2:10" ht="15.75" thickBot="1">
      <c r="B5" s="2" t="s">
        <v>15</v>
      </c>
      <c r="C5" s="4">
        <v>1</v>
      </c>
      <c r="D5" s="2" t="s">
        <v>16</v>
      </c>
      <c r="E5" s="17" t="s">
        <v>286</v>
      </c>
      <c r="F5" s="9">
        <f>ABS(F4)/F2</f>
        <v>8.9283076764839039E-5</v>
      </c>
      <c r="G5" s="2" t="s">
        <v>289</v>
      </c>
      <c r="H5" s="2" t="s">
        <v>31</v>
      </c>
      <c r="I5" s="4">
        <v>1.2</v>
      </c>
      <c r="J5" s="2" t="s">
        <v>32</v>
      </c>
    </row>
    <row r="6" spans="2:10">
      <c r="B6" s="2" t="s">
        <v>0</v>
      </c>
      <c r="C6" s="3">
        <v>0</v>
      </c>
      <c r="D6" s="2" t="s">
        <v>17</v>
      </c>
    </row>
    <row r="7" spans="2:10" ht="15.75" thickBot="1">
      <c r="B7" s="2" t="s">
        <v>1</v>
      </c>
      <c r="C7" s="3">
        <f>1+C5/C4</f>
        <v>2</v>
      </c>
      <c r="D7" s="2" t="s">
        <v>39</v>
      </c>
      <c r="H7" s="6" t="s">
        <v>33</v>
      </c>
    </row>
    <row r="8" spans="2:10" ht="15.75" thickBot="1">
      <c r="B8" s="2" t="s">
        <v>97</v>
      </c>
      <c r="C8" s="3">
        <f>1/(2*PI()*$C$10*$C$3*0.000001)</f>
        <v>1591.5494309189535</v>
      </c>
      <c r="D8" s="2" t="s">
        <v>214</v>
      </c>
      <c r="H8" s="6" t="s">
        <v>29</v>
      </c>
      <c r="I8" s="4">
        <v>1</v>
      </c>
      <c r="J8" s="2" t="s">
        <v>17</v>
      </c>
    </row>
    <row r="9" spans="2:10" ht="15.75" thickBot="1">
      <c r="B9" s="2" t="s">
        <v>25</v>
      </c>
      <c r="C9" s="4">
        <v>1</v>
      </c>
      <c r="D9" s="2" t="s">
        <v>38</v>
      </c>
      <c r="H9" s="6" t="s">
        <v>34</v>
      </c>
      <c r="I9" s="3">
        <f>IF($C$7*I8/SQRT(1+($C$10/$C$12)^2)&gt;($I$3-$I$5),($I$3-$I$5),IF($C$7*I8/SQRT(1+($C$10/$C$12)^2)&lt;($I$4+$I$5),($I$4+$I$5),$C$7*I8/SQRT(1+($C$10/$C$12)^2)))</f>
        <v>1.6934660319296608</v>
      </c>
      <c r="J9" s="2" t="s">
        <v>17</v>
      </c>
    </row>
    <row r="10" spans="2:10" ht="15.75" thickBot="1">
      <c r="B10" s="2" t="s">
        <v>84</v>
      </c>
      <c r="C10" s="4">
        <v>1000</v>
      </c>
      <c r="D10" s="2" t="s">
        <v>80</v>
      </c>
    </row>
    <row r="11" spans="2:10">
      <c r="B11" s="2" t="s">
        <v>87</v>
      </c>
      <c r="C11" s="3">
        <f>1/C10</f>
        <v>1E-3</v>
      </c>
      <c r="D11" s="2" t="s">
        <v>86</v>
      </c>
      <c r="H11" s="6" t="s">
        <v>196</v>
      </c>
    </row>
    <row r="12" spans="2:10" ht="15.75" thickBot="1">
      <c r="B12" s="2" t="s">
        <v>81</v>
      </c>
      <c r="C12" s="3">
        <f>1/(2*PI()*(C3*0.000001)*(C5*1000))</f>
        <v>1591.5494309189535</v>
      </c>
      <c r="D12" s="2" t="s">
        <v>80</v>
      </c>
      <c r="H12" s="17" t="s">
        <v>104</v>
      </c>
      <c r="I12" s="3">
        <f>1000*(C3*1000)*(C5*0.000001)</f>
        <v>9.9999999999999992E-2</v>
      </c>
      <c r="J12" s="2" t="s">
        <v>105</v>
      </c>
    </row>
    <row r="13" spans="2:10" ht="15.75" thickBot="1">
      <c r="B13" s="2" t="s">
        <v>89</v>
      </c>
      <c r="C13" s="4">
        <v>4</v>
      </c>
      <c r="D13" s="2" t="s">
        <v>90</v>
      </c>
      <c r="H13" s="17" t="s">
        <v>195</v>
      </c>
      <c r="I13" s="3">
        <f>1/(I12*0.001)</f>
        <v>10000</v>
      </c>
      <c r="J13" s="2" t="s">
        <v>80</v>
      </c>
    </row>
    <row r="14" spans="2:10">
      <c r="B14" s="2" t="s">
        <v>88</v>
      </c>
      <c r="C14" s="3">
        <f>C11*C13/25</f>
        <v>1.6000000000000001E-4</v>
      </c>
      <c r="D14" s="2" t="s">
        <v>86</v>
      </c>
    </row>
    <row r="16" spans="2:10">
      <c r="E16" s="6" t="s">
        <v>30</v>
      </c>
    </row>
    <row r="17" spans="2:16">
      <c r="B17" s="7" t="s">
        <v>85</v>
      </c>
      <c r="C17" s="7" t="s">
        <v>7</v>
      </c>
      <c r="D17" s="7" t="s">
        <v>3</v>
      </c>
      <c r="E17" s="7" t="s">
        <v>3</v>
      </c>
      <c r="F17" s="28" t="s">
        <v>222</v>
      </c>
      <c r="G17" s="28"/>
    </row>
    <row r="18" spans="2:16">
      <c r="B18" s="2">
        <v>0</v>
      </c>
      <c r="C18" s="2">
        <f t="shared" ref="C18:C43" si="0">$C$9*SIN($B18*$C$10*2*PI())</f>
        <v>0</v>
      </c>
      <c r="D18" s="2">
        <f>$C$7*$F$3*$C$9*SIN($F$2*B18+$F$4)</f>
        <v>-0.90095448673677725</v>
      </c>
      <c r="E18" s="2">
        <f t="shared" ref="E18:E43" si="1">IF(D18&gt;($I$3-$I$5),($I$3-$I$5),IF(D18&lt;($I$4+$I$5),($I$4+$I$5),D18))</f>
        <v>-0.90095448673677725</v>
      </c>
      <c r="F18" s="28">
        <f t="shared" ref="F18:F43" si="2">C18*(1+$C$5/$C$4)*$C$8/SQRT(($C$2*1000)^2+$C$8^2)</f>
        <v>0</v>
      </c>
      <c r="G18" s="28"/>
    </row>
    <row r="19" spans="2:16">
      <c r="B19" s="2">
        <f t="shared" ref="B19:B43" si="3">B18+$C$14</f>
        <v>1.6000000000000001E-4</v>
      </c>
      <c r="C19" s="2">
        <f t="shared" si="0"/>
        <v>0.84432792550201508</v>
      </c>
      <c r="D19" s="2">
        <f t="shared" ref="D19:D43" si="4">$C$7*$F$3*$C$9*SIN($F$2*B19+$F$4)</f>
        <v>0.72793774073565276</v>
      </c>
      <c r="E19" s="2">
        <f t="shared" si="1"/>
        <v>0.72793774073565276</v>
      </c>
      <c r="F19" s="28">
        <f t="shared" si="2"/>
        <v>1.4298406616473001</v>
      </c>
      <c r="G19" s="28"/>
    </row>
    <row r="20" spans="2:16">
      <c r="B20" s="2">
        <f t="shared" si="3"/>
        <v>3.2000000000000003E-4</v>
      </c>
      <c r="C20" s="2">
        <f t="shared" si="0"/>
        <v>0.90482705246601947</v>
      </c>
      <c r="D20" s="2">
        <f t="shared" si="4"/>
        <v>1.6810515798620504</v>
      </c>
      <c r="E20" s="2">
        <f t="shared" si="1"/>
        <v>1.6810515798620504</v>
      </c>
      <c r="F20" s="28">
        <f t="shared" si="2"/>
        <v>1.532293878122241</v>
      </c>
      <c r="G20" s="28"/>
    </row>
    <row r="21" spans="2:16">
      <c r="B21" s="2">
        <f t="shared" si="3"/>
        <v>4.8000000000000007E-4</v>
      </c>
      <c r="C21" s="2">
        <f t="shared" si="0"/>
        <v>0.12533323356430365</v>
      </c>
      <c r="D21" s="2">
        <f t="shared" si="4"/>
        <v>1.0735672197280697</v>
      </c>
      <c r="E21" s="2">
        <f t="shared" si="1"/>
        <v>1.0735672197280697</v>
      </c>
      <c r="F21" s="28">
        <f t="shared" si="2"/>
        <v>0.21224757371305469</v>
      </c>
      <c r="G21" s="28"/>
    </row>
    <row r="22" spans="2:16">
      <c r="B22" s="2">
        <f t="shared" si="3"/>
        <v>6.4000000000000005E-4</v>
      </c>
      <c r="C22" s="2">
        <f t="shared" si="0"/>
        <v>-0.77051324277578936</v>
      </c>
      <c r="D22" s="2">
        <f t="shared" si="4"/>
        <v>-0.53055941477924307</v>
      </c>
      <c r="E22" s="2">
        <f t="shared" si="1"/>
        <v>-0.53055941477924307</v>
      </c>
      <c r="F22" s="28">
        <f t="shared" si="2"/>
        <v>-1.3048380037927716</v>
      </c>
      <c r="G22" s="28"/>
    </row>
    <row r="23" spans="2:16">
      <c r="B23" s="2">
        <f t="shared" si="3"/>
        <v>8.0000000000000004E-4</v>
      </c>
      <c r="C23" s="2">
        <f t="shared" si="0"/>
        <v>-0.95105651629515364</v>
      </c>
      <c r="D23" s="2">
        <f t="shared" si="4"/>
        <v>-1.642143121262257</v>
      </c>
      <c r="E23" s="2">
        <f t="shared" si="1"/>
        <v>-1.642143121262257</v>
      </c>
      <c r="F23" s="28">
        <f t="shared" si="2"/>
        <v>-1.6105819047912007</v>
      </c>
      <c r="G23" s="28"/>
    </row>
    <row r="24" spans="2:16">
      <c r="B24" s="2">
        <f t="shared" si="3"/>
        <v>9.6000000000000002E-4</v>
      </c>
      <c r="C24" s="2">
        <f t="shared" si="0"/>
        <v>-0.24868988716485449</v>
      </c>
      <c r="D24" s="2">
        <f t="shared" si="4"/>
        <v>-1.2292491563462806</v>
      </c>
      <c r="E24" s="2">
        <f t="shared" si="1"/>
        <v>-1.2292491563462806</v>
      </c>
      <c r="F24" s="28">
        <f t="shared" si="2"/>
        <v>-0.42114787639810125</v>
      </c>
      <c r="G24" s="28"/>
    </row>
    <row r="25" spans="2:16">
      <c r="B25" s="2">
        <f t="shared" si="3"/>
        <v>1.1200000000000001E-3</v>
      </c>
      <c r="C25" s="2">
        <f t="shared" si="0"/>
        <v>0.68454710592868928</v>
      </c>
      <c r="D25" s="2">
        <f t="shared" si="4"/>
        <v>0.32481384991093293</v>
      </c>
      <c r="E25" s="2">
        <f t="shared" si="1"/>
        <v>0.32481384991093293</v>
      </c>
      <c r="F25" s="28">
        <f t="shared" si="2"/>
        <v>1.1592572711459908</v>
      </c>
      <c r="G25" s="28"/>
    </row>
    <row r="26" spans="2:16">
      <c r="B26" s="2">
        <f t="shared" si="3"/>
        <v>1.2800000000000001E-3</v>
      </c>
      <c r="C26" s="2">
        <f t="shared" si="0"/>
        <v>0.98228725072868861</v>
      </c>
      <c r="D26" s="2">
        <f t="shared" si="4"/>
        <v>1.577337084671407</v>
      </c>
      <c r="E26" s="2">
        <f t="shared" si="1"/>
        <v>1.577337084671407</v>
      </c>
      <c r="F26" s="28">
        <f t="shared" si="2"/>
        <v>1.6634700927066082</v>
      </c>
      <c r="G26" s="28"/>
    </row>
    <row r="27" spans="2:16">
      <c r="B27" s="2">
        <f t="shared" si="3"/>
        <v>1.4400000000000001E-3</v>
      </c>
      <c r="C27" s="2">
        <f t="shared" si="0"/>
        <v>0.36812455268467797</v>
      </c>
      <c r="D27" s="2">
        <f t="shared" si="4"/>
        <v>1.3655450994510565</v>
      </c>
      <c r="E27" s="2">
        <f t="shared" si="1"/>
        <v>1.3655450994510565</v>
      </c>
      <c r="F27" s="28">
        <f t="shared" si="2"/>
        <v>0.62340642549080305</v>
      </c>
      <c r="G27" s="28"/>
    </row>
    <row r="28" spans="2:16">
      <c r="B28" s="2">
        <f t="shared" si="3"/>
        <v>1.6000000000000001E-3</v>
      </c>
      <c r="C28" s="2">
        <f t="shared" si="0"/>
        <v>-0.5877852522924728</v>
      </c>
      <c r="D28" s="2">
        <f t="shared" si="4"/>
        <v>-0.11394577659513644</v>
      </c>
      <c r="E28" s="2">
        <f t="shared" si="1"/>
        <v>-0.11394577659513644</v>
      </c>
      <c r="F28" s="28">
        <f t="shared" si="2"/>
        <v>-0.99539435882650851</v>
      </c>
      <c r="G28" s="28"/>
    </row>
    <row r="29" spans="2:16">
      <c r="B29" s="2">
        <f t="shared" si="3"/>
        <v>1.7600000000000001E-3</v>
      </c>
      <c r="C29" s="2">
        <f t="shared" si="0"/>
        <v>-0.99802672842827156</v>
      </c>
      <c r="D29" s="2">
        <f t="shared" si="4"/>
        <v>-1.487655499999786</v>
      </c>
      <c r="E29" s="2">
        <f t="shared" si="1"/>
        <v>-1.487655499999786</v>
      </c>
      <c r="F29" s="28">
        <f t="shared" si="2"/>
        <v>-1.6901243635511662</v>
      </c>
      <c r="G29" s="28"/>
    </row>
    <row r="30" spans="2:16">
      <c r="B30" s="2">
        <f t="shared" si="3"/>
        <v>1.92E-3</v>
      </c>
      <c r="C30" s="2">
        <f t="shared" si="0"/>
        <v>-0.48175367410171477</v>
      </c>
      <c r="D30" s="2">
        <f t="shared" si="4"/>
        <v>-1.4803055806003886</v>
      </c>
      <c r="E30" s="2">
        <f t="shared" si="1"/>
        <v>-1.4803055806003886</v>
      </c>
      <c r="F30" s="28">
        <f t="shared" si="2"/>
        <v>-0.81583348284856594</v>
      </c>
      <c r="G30" s="28"/>
    </row>
    <row r="31" spans="2:16">
      <c r="B31" s="2">
        <f t="shared" si="3"/>
        <v>2.0800000000000003E-3</v>
      </c>
      <c r="C31" s="2">
        <f t="shared" si="0"/>
        <v>0.48175367410171543</v>
      </c>
      <c r="D31" s="2">
        <f t="shared" si="4"/>
        <v>-9.871928968546996E-2</v>
      </c>
      <c r="E31" s="2">
        <f t="shared" si="1"/>
        <v>-9.871928968546996E-2</v>
      </c>
      <c r="F31" s="28">
        <f t="shared" si="2"/>
        <v>0.81583348284856716</v>
      </c>
      <c r="G31" s="28"/>
    </row>
    <row r="32" spans="2:16">
      <c r="B32" s="2">
        <f t="shared" si="3"/>
        <v>2.2400000000000002E-3</v>
      </c>
      <c r="C32" s="2">
        <f t="shared" si="0"/>
        <v>0.99802672842827167</v>
      </c>
      <c r="D32" s="2">
        <f t="shared" si="4"/>
        <v>1.3745126994108501</v>
      </c>
      <c r="E32" s="2">
        <f t="shared" si="1"/>
        <v>1.3745126994108501</v>
      </c>
      <c r="F32" s="28">
        <f t="shared" si="2"/>
        <v>1.6901243635511665</v>
      </c>
      <c r="G32" s="28"/>
      <c r="P32" s="30" t="s">
        <v>219</v>
      </c>
    </row>
    <row r="33" spans="2:11">
      <c r="B33" s="2">
        <f t="shared" si="3"/>
        <v>2.4000000000000002E-3</v>
      </c>
      <c r="C33" s="2">
        <f t="shared" si="0"/>
        <v>0.58778525229247214</v>
      </c>
      <c r="D33" s="2">
        <f t="shared" si="4"/>
        <v>1.5717207584519604</v>
      </c>
      <c r="E33" s="2">
        <f t="shared" si="1"/>
        <v>1.5717207584519604</v>
      </c>
      <c r="F33" s="28">
        <f t="shared" si="2"/>
        <v>0.9953943588265074</v>
      </c>
      <c r="G33" s="28"/>
    </row>
    <row r="34" spans="2:11">
      <c r="B34" s="2">
        <f t="shared" si="3"/>
        <v>2.5600000000000002E-3</v>
      </c>
      <c r="C34" s="2">
        <f t="shared" si="0"/>
        <v>-0.3681245526846787</v>
      </c>
      <c r="D34" s="2">
        <f t="shared" si="4"/>
        <v>0.3098274937956913</v>
      </c>
      <c r="E34" s="2">
        <f t="shared" si="1"/>
        <v>0.3098274937956913</v>
      </c>
      <c r="F34" s="28">
        <f t="shared" si="2"/>
        <v>-0.62340642549080427</v>
      </c>
      <c r="G34" s="28"/>
    </row>
    <row r="35" spans="2:11">
      <c r="B35" s="2">
        <f t="shared" si="3"/>
        <v>2.7200000000000002E-3</v>
      </c>
      <c r="C35" s="2">
        <f t="shared" si="0"/>
        <v>-0.98228725072868905</v>
      </c>
      <c r="D35" s="2">
        <f t="shared" si="4"/>
        <v>-1.2396930124581187</v>
      </c>
      <c r="E35" s="2">
        <f t="shared" si="1"/>
        <v>-1.2396930124581187</v>
      </c>
      <c r="F35" s="28">
        <f t="shared" si="2"/>
        <v>-1.6634700927066091</v>
      </c>
      <c r="G35" s="28"/>
    </row>
    <row r="36" spans="2:11">
      <c r="B36" s="2">
        <f t="shared" si="3"/>
        <v>2.8800000000000002E-3</v>
      </c>
      <c r="C36" s="2">
        <f t="shared" si="0"/>
        <v>-0.68454710592868862</v>
      </c>
      <c r="D36" s="2">
        <f t="shared" si="4"/>
        <v>-1.6383489610422735</v>
      </c>
      <c r="E36" s="2">
        <f t="shared" si="1"/>
        <v>-1.6383489610422735</v>
      </c>
      <c r="F36" s="28">
        <f t="shared" si="2"/>
        <v>-1.1592572711459896</v>
      </c>
      <c r="G36" s="28"/>
    </row>
    <row r="37" spans="2:11">
      <c r="B37" s="2">
        <f t="shared" si="3"/>
        <v>3.0400000000000002E-3</v>
      </c>
      <c r="C37" s="2">
        <f t="shared" si="0"/>
        <v>0.24868988716485269</v>
      </c>
      <c r="D37" s="2">
        <f t="shared" si="4"/>
        <v>-0.51604953324678404</v>
      </c>
      <c r="E37" s="2">
        <f t="shared" si="1"/>
        <v>-0.51604953324678404</v>
      </c>
      <c r="F37" s="28">
        <f t="shared" si="2"/>
        <v>0.4211478763980982</v>
      </c>
      <c r="G37" s="28"/>
      <c r="H37" s="6" t="s">
        <v>65</v>
      </c>
    </row>
    <row r="38" spans="2:11">
      <c r="B38" s="2">
        <f t="shared" si="3"/>
        <v>3.2000000000000002E-3</v>
      </c>
      <c r="C38" s="2">
        <f t="shared" si="0"/>
        <v>0.95105651629515331</v>
      </c>
      <c r="D38" s="2">
        <f t="shared" si="4"/>
        <v>1.0853226261422131</v>
      </c>
      <c r="E38" s="2">
        <f t="shared" si="1"/>
        <v>1.0853226261422131</v>
      </c>
      <c r="F38" s="28">
        <f t="shared" si="2"/>
        <v>1.6105819047912002</v>
      </c>
      <c r="G38" s="28"/>
      <c r="H38" s="12" t="s">
        <v>64</v>
      </c>
      <c r="I38" s="12">
        <f>I3</f>
        <v>5</v>
      </c>
      <c r="J38" s="12" t="s">
        <v>17</v>
      </c>
      <c r="K38" s="13" t="str">
        <f>TRIM(H38)&amp;"   "&amp;IF(I38&gt;0,"+","")&amp;TRIM(I38)&amp;" "&amp;TRIM(J38)</f>
        <v>V+:   +5 V</v>
      </c>
    </row>
    <row r="39" spans="2:11">
      <c r="B39" s="2">
        <f t="shared" si="3"/>
        <v>3.3600000000000001E-3</v>
      </c>
      <c r="C39" s="2">
        <f t="shared" si="0"/>
        <v>0.77051324277578881</v>
      </c>
      <c r="D39" s="2">
        <f t="shared" si="4"/>
        <v>1.679139421814722</v>
      </c>
      <c r="E39" s="2">
        <f t="shared" si="1"/>
        <v>1.679139421814722</v>
      </c>
      <c r="F39" s="28">
        <f t="shared" si="2"/>
        <v>1.3048380037927707</v>
      </c>
      <c r="G39" s="28"/>
      <c r="H39" s="12" t="s">
        <v>66</v>
      </c>
      <c r="I39" s="12">
        <f>I4</f>
        <v>-5</v>
      </c>
      <c r="J39" s="12" t="s">
        <v>17</v>
      </c>
      <c r="K39" s="13" t="str">
        <f t="shared" ref="K39:K40" si="5">TRIM(H39)&amp;"   "&amp;IF(I39&gt;0,"+","")&amp;TRIM(I39)&amp;" "&amp;TRIM(J39)</f>
        <v>V-:   -5 V</v>
      </c>
    </row>
    <row r="40" spans="2:11">
      <c r="B40" s="2">
        <f t="shared" si="3"/>
        <v>3.5200000000000001E-3</v>
      </c>
      <c r="C40" s="2">
        <f t="shared" si="0"/>
        <v>-0.12533323356430268</v>
      </c>
      <c r="D40" s="2">
        <f t="shared" si="4"/>
        <v>0.71413316328552334</v>
      </c>
      <c r="E40" s="2">
        <f t="shared" si="1"/>
        <v>0.71413316328552334</v>
      </c>
      <c r="F40" s="28">
        <f t="shared" si="2"/>
        <v>-0.21224757371305306</v>
      </c>
      <c r="G40" s="28"/>
      <c r="H40" s="12" t="s">
        <v>29</v>
      </c>
      <c r="I40" s="12">
        <f>I8</f>
        <v>1</v>
      </c>
      <c r="J40" s="12" t="s">
        <v>17</v>
      </c>
      <c r="K40" s="13" t="str">
        <f t="shared" si="5"/>
        <v>Vin:   +1 V</v>
      </c>
    </row>
    <row r="41" spans="2:11">
      <c r="B41" s="2">
        <f t="shared" si="3"/>
        <v>3.6800000000000001E-3</v>
      </c>
      <c r="C41" s="2">
        <f t="shared" si="0"/>
        <v>-0.90482705246601947</v>
      </c>
      <c r="D41" s="2">
        <f t="shared" si="4"/>
        <v>-0.91383605367173482</v>
      </c>
      <c r="E41" s="2">
        <f t="shared" si="1"/>
        <v>-0.91383605367173482</v>
      </c>
      <c r="F41" s="28">
        <f t="shared" si="2"/>
        <v>-1.532293878122241</v>
      </c>
      <c r="G41" s="28"/>
      <c r="H41" s="12" t="s">
        <v>67</v>
      </c>
      <c r="I41" s="12">
        <f>C2</f>
        <v>1</v>
      </c>
      <c r="J41" s="12" t="s">
        <v>16</v>
      </c>
      <c r="K41" s="13" t="str">
        <f>TRIM(H41)&amp;"   "&amp;TRIM(I41)&amp;" "&amp;TRIM(J41)</f>
        <v>R1:   1 K</v>
      </c>
    </row>
    <row r="42" spans="2:11">
      <c r="B42" s="2">
        <f t="shared" si="3"/>
        <v>3.8400000000000001E-3</v>
      </c>
      <c r="C42" s="2">
        <f t="shared" si="0"/>
        <v>-0.84432792550201441</v>
      </c>
      <c r="D42" s="2">
        <f t="shared" si="4"/>
        <v>-1.6934488508358814</v>
      </c>
      <c r="E42" s="2">
        <f t="shared" si="1"/>
        <v>-1.6934488508358814</v>
      </c>
      <c r="F42" s="28">
        <f t="shared" si="2"/>
        <v>-1.4298406616472987</v>
      </c>
      <c r="G42" s="28"/>
      <c r="H42" s="12" t="s">
        <v>68</v>
      </c>
      <c r="I42" s="12">
        <f>C3</f>
        <v>0.1</v>
      </c>
      <c r="J42" s="12" t="s">
        <v>16</v>
      </c>
      <c r="K42" s="13" t="str">
        <f>TRIM(H42)&amp;"   "&amp;TRIM(I42)&amp;" "&amp;TRIM(J42)</f>
        <v>RF:   0.1 K</v>
      </c>
    </row>
    <row r="43" spans="2:11">
      <c r="B43" s="2">
        <f t="shared" si="3"/>
        <v>4.0000000000000001E-3</v>
      </c>
      <c r="C43" s="2">
        <f t="shared" si="0"/>
        <v>-9.8011876392689601E-16</v>
      </c>
      <c r="D43" s="2">
        <f t="shared" si="4"/>
        <v>-0.90095448673677669</v>
      </c>
      <c r="E43" s="2">
        <f t="shared" si="1"/>
        <v>-0.90095448673677669</v>
      </c>
      <c r="F43" s="28">
        <f t="shared" si="2"/>
        <v>-1.6597978339670847E-15</v>
      </c>
      <c r="G43" s="28"/>
      <c r="H43" s="12" t="s">
        <v>100</v>
      </c>
      <c r="I43" s="12">
        <f>C5</f>
        <v>1</v>
      </c>
      <c r="J43" s="12" t="s">
        <v>83</v>
      </c>
      <c r="K43" s="13" t="str">
        <f>TRIM(H43)&amp;"   "&amp;TRIM(I43)&amp;" "&amp;TRIM(J43)</f>
        <v>C1:   1 uF</v>
      </c>
    </row>
    <row r="44" spans="2:11">
      <c r="H44" s="12" t="s">
        <v>101</v>
      </c>
      <c r="I44" s="12">
        <f>ROUND(C10,0)</f>
        <v>1000</v>
      </c>
      <c r="J44" s="12" t="s">
        <v>80</v>
      </c>
      <c r="K44" s="13" t="str">
        <f>TRIM(H44)&amp;"   "&amp;TRIM(I44)&amp;" "&amp;TRIM(J44)</f>
        <v>f,signal:   1000 Hz</v>
      </c>
    </row>
    <row r="45" spans="2:11">
      <c r="B45" s="6" t="s">
        <v>92</v>
      </c>
    </row>
    <row r="46" spans="2:11" ht="15.75">
      <c r="B46" s="14"/>
      <c r="C46" s="2" t="s">
        <v>95</v>
      </c>
    </row>
    <row r="47" spans="2:11">
      <c r="B47" s="7" t="s">
        <v>93</v>
      </c>
      <c r="C47" s="7" t="s">
        <v>94</v>
      </c>
      <c r="D47" s="7" t="s">
        <v>97</v>
      </c>
      <c r="E47" s="7" t="s">
        <v>218</v>
      </c>
    </row>
    <row r="48" spans="2:11">
      <c r="B48" s="2">
        <v>1</v>
      </c>
      <c r="C48" s="2">
        <f t="shared" ref="C48:C79" si="6">20*LOG($C$7/SQRT(1+(B48/$C$12)^2))</f>
        <v>6.0205981987540715</v>
      </c>
      <c r="D48" s="2">
        <f t="shared" ref="D48:D79" si="7">1/(2*PI()*B48*$C$3*0.000001)</f>
        <v>1591549.4309189534</v>
      </c>
      <c r="E48" s="2">
        <f t="shared" ref="E48:E79" si="8">20*LOG((1+$C$5/$C$4)*D48/SQRT(($C$2*1000)^2+D48^2))</f>
        <v>6.0205981987540715</v>
      </c>
    </row>
    <row r="49" spans="2:23">
      <c r="B49" s="2">
        <v>2</v>
      </c>
      <c r="C49" s="2">
        <f t="shared" si="6"/>
        <v>6.0205930551814717</v>
      </c>
      <c r="D49" s="2">
        <f t="shared" si="7"/>
        <v>795774.71545947669</v>
      </c>
      <c r="E49" s="2">
        <f t="shared" si="8"/>
        <v>6.0205930551814699</v>
      </c>
    </row>
    <row r="50" spans="2:23">
      <c r="B50" s="2">
        <v>3</v>
      </c>
      <c r="C50" s="2">
        <f t="shared" si="6"/>
        <v>6.0205844825740087</v>
      </c>
      <c r="D50" s="2">
        <f t="shared" si="7"/>
        <v>530516.4769729845</v>
      </c>
      <c r="E50" s="2">
        <f t="shared" si="8"/>
        <v>6.0205844825740087</v>
      </c>
    </row>
    <row r="51" spans="2:23">
      <c r="B51" s="2">
        <v>4</v>
      </c>
      <c r="C51" s="2">
        <f t="shared" si="6"/>
        <v>6.0205724809519898</v>
      </c>
      <c r="D51" s="2">
        <f t="shared" si="7"/>
        <v>397887.35772973835</v>
      </c>
      <c r="E51" s="2">
        <f t="shared" si="8"/>
        <v>6.0205724809519898</v>
      </c>
    </row>
    <row r="52" spans="2:23">
      <c r="B52" s="2">
        <v>5</v>
      </c>
      <c r="C52" s="2">
        <f t="shared" si="6"/>
        <v>6.0205570503438457</v>
      </c>
      <c r="D52" s="2">
        <f t="shared" si="7"/>
        <v>318309.88618379069</v>
      </c>
      <c r="E52" s="2">
        <f t="shared" si="8"/>
        <v>6.0205570503438448</v>
      </c>
    </row>
    <row r="53" spans="2:23">
      <c r="B53" s="2">
        <v>6</v>
      </c>
      <c r="C53" s="2">
        <f t="shared" si="6"/>
        <v>6.0205381907861186</v>
      </c>
      <c r="D53" s="2">
        <f t="shared" si="7"/>
        <v>265258.23848649225</v>
      </c>
      <c r="E53" s="2">
        <f t="shared" si="8"/>
        <v>6.0205381907861186</v>
      </c>
    </row>
    <row r="54" spans="2:23">
      <c r="B54" s="2">
        <v>7</v>
      </c>
      <c r="C54" s="2">
        <f t="shared" si="6"/>
        <v>6.0205159023234858</v>
      </c>
      <c r="D54" s="2">
        <f t="shared" si="7"/>
        <v>227364.20441699337</v>
      </c>
      <c r="E54" s="2">
        <f t="shared" si="8"/>
        <v>6.0205159023234858</v>
      </c>
    </row>
    <row r="55" spans="2:23">
      <c r="B55" s="2">
        <v>8</v>
      </c>
      <c r="C55" s="2">
        <f t="shared" si="6"/>
        <v>6.0204901850087387</v>
      </c>
      <c r="D55" s="2">
        <f t="shared" si="7"/>
        <v>198943.67886486917</v>
      </c>
      <c r="E55" s="2">
        <f t="shared" si="8"/>
        <v>6.0204901850087378</v>
      </c>
    </row>
    <row r="56" spans="2:23">
      <c r="B56" s="2">
        <v>9</v>
      </c>
      <c r="C56" s="2">
        <f t="shared" si="6"/>
        <v>6.0204610389027913</v>
      </c>
      <c r="D56" s="2">
        <f t="shared" si="7"/>
        <v>176838.82565766151</v>
      </c>
      <c r="E56" s="2">
        <f t="shared" si="8"/>
        <v>6.0204610389027904</v>
      </c>
      <c r="W56" s="2" t="s">
        <v>293</v>
      </c>
    </row>
    <row r="57" spans="2:23">
      <c r="B57" s="2">
        <v>10</v>
      </c>
      <c r="C57" s="2">
        <f t="shared" si="6"/>
        <v>6.0204284640746755</v>
      </c>
      <c r="D57" s="2">
        <f t="shared" si="7"/>
        <v>159154.94309189534</v>
      </c>
      <c r="E57" s="2">
        <f t="shared" si="8"/>
        <v>6.0204284640746746</v>
      </c>
      <c r="W57" s="2" t="s">
        <v>294</v>
      </c>
    </row>
    <row r="58" spans="2:23">
      <c r="B58" s="2">
        <v>20</v>
      </c>
      <c r="C58" s="2">
        <f t="shared" si="6"/>
        <v>6.0199141570665464</v>
      </c>
      <c r="D58" s="2">
        <f t="shared" si="7"/>
        <v>79577.471545947672</v>
      </c>
      <c r="E58" s="2">
        <f t="shared" si="8"/>
        <v>6.0199141570665446</v>
      </c>
    </row>
    <row r="59" spans="2:23">
      <c r="B59" s="2">
        <v>30</v>
      </c>
      <c r="C59" s="2">
        <f t="shared" si="6"/>
        <v>6.0190571140433367</v>
      </c>
      <c r="D59" s="2">
        <f t="shared" si="7"/>
        <v>53051.647697298446</v>
      </c>
      <c r="E59" s="2">
        <f t="shared" si="8"/>
        <v>6.0190571140433358</v>
      </c>
    </row>
    <row r="60" spans="2:23">
      <c r="B60" s="2">
        <v>40</v>
      </c>
      <c r="C60" s="2">
        <f t="shared" si="6"/>
        <v>6.0178575378784256</v>
      </c>
      <c r="D60" s="2">
        <f t="shared" si="7"/>
        <v>39788.735772973836</v>
      </c>
      <c r="E60" s="2">
        <f t="shared" si="8"/>
        <v>6.0178575378784256</v>
      </c>
    </row>
    <row r="61" spans="2:23">
      <c r="B61" s="2">
        <v>50</v>
      </c>
      <c r="C61" s="2">
        <f t="shared" si="6"/>
        <v>6.0163157123704742</v>
      </c>
      <c r="D61" s="2">
        <f t="shared" si="7"/>
        <v>31830.988618379066</v>
      </c>
      <c r="E61" s="2">
        <f t="shared" si="8"/>
        <v>6.016315712370476</v>
      </c>
    </row>
    <row r="62" spans="2:23">
      <c r="B62" s="2">
        <v>60</v>
      </c>
      <c r="C62" s="2">
        <f t="shared" si="6"/>
        <v>6.0144320020197917</v>
      </c>
      <c r="D62" s="2">
        <f t="shared" si="7"/>
        <v>26525.823848649223</v>
      </c>
      <c r="E62" s="2">
        <f t="shared" si="8"/>
        <v>6.0144320020197926</v>
      </c>
    </row>
    <row r="63" spans="2:23">
      <c r="B63" s="2">
        <v>70</v>
      </c>
      <c r="C63" s="2">
        <f t="shared" si="6"/>
        <v>6.0122068517414595</v>
      </c>
      <c r="D63" s="2">
        <f t="shared" si="7"/>
        <v>22736.420441699334</v>
      </c>
      <c r="E63" s="2">
        <f t="shared" si="8"/>
        <v>6.0122068517414604</v>
      </c>
    </row>
    <row r="64" spans="2:23">
      <c r="B64" s="2">
        <v>80</v>
      </c>
      <c r="C64" s="2">
        <f t="shared" si="6"/>
        <v>6.0096407865156571</v>
      </c>
      <c r="D64" s="2">
        <f t="shared" si="7"/>
        <v>19894.367886486918</v>
      </c>
      <c r="E64" s="2">
        <f t="shared" si="8"/>
        <v>6.0096407865156563</v>
      </c>
    </row>
    <row r="65" spans="2:5">
      <c r="B65" s="2">
        <v>90</v>
      </c>
      <c r="C65" s="2">
        <f t="shared" si="6"/>
        <v>6.0067344109757812</v>
      </c>
      <c r="D65" s="2">
        <f t="shared" si="7"/>
        <v>17683.882565766147</v>
      </c>
      <c r="E65" s="2">
        <f t="shared" si="8"/>
        <v>6.006734410975783</v>
      </c>
    </row>
    <row r="66" spans="2:5">
      <c r="B66" s="2">
        <v>100</v>
      </c>
      <c r="C66" s="2">
        <f t="shared" si="6"/>
        <v>6.0034884089350413</v>
      </c>
      <c r="D66" s="2">
        <f t="shared" si="7"/>
        <v>15915.494309189533</v>
      </c>
      <c r="E66" s="2">
        <f t="shared" si="8"/>
        <v>6.0034884089350413</v>
      </c>
    </row>
    <row r="67" spans="2:5">
      <c r="B67" s="2">
        <v>200</v>
      </c>
      <c r="C67" s="2">
        <f t="shared" si="6"/>
        <v>5.9525547378051593</v>
      </c>
      <c r="D67" s="2">
        <f t="shared" si="7"/>
        <v>7957.7471545947665</v>
      </c>
      <c r="E67" s="2">
        <f t="shared" si="8"/>
        <v>5.9525547378051584</v>
      </c>
    </row>
    <row r="68" spans="2:5">
      <c r="B68" s="2">
        <v>300</v>
      </c>
      <c r="C68" s="2">
        <f t="shared" si="6"/>
        <v>5.8689706460814701</v>
      </c>
      <c r="D68" s="2">
        <f t="shared" si="7"/>
        <v>5305.1647697298449</v>
      </c>
      <c r="E68" s="2">
        <f t="shared" si="8"/>
        <v>5.8689706460814692</v>
      </c>
    </row>
    <row r="69" spans="2:5">
      <c r="B69" s="2">
        <v>400</v>
      </c>
      <c r="C69" s="2">
        <f t="shared" si="6"/>
        <v>5.7545912913828703</v>
      </c>
      <c r="D69" s="2">
        <f t="shared" si="7"/>
        <v>3978.8735772973832</v>
      </c>
      <c r="E69" s="2">
        <f t="shared" si="8"/>
        <v>5.7545912913828694</v>
      </c>
    </row>
    <row r="70" spans="2:5">
      <c r="B70" s="2">
        <v>500</v>
      </c>
      <c r="C70" s="2">
        <f t="shared" si="6"/>
        <v>5.6118243053961017</v>
      </c>
      <c r="D70" s="2">
        <f t="shared" si="7"/>
        <v>3183.098861837907</v>
      </c>
      <c r="E70" s="2">
        <f t="shared" si="8"/>
        <v>5.6118243053961017</v>
      </c>
    </row>
    <row r="71" spans="2:5">
      <c r="B71" s="2">
        <v>600</v>
      </c>
      <c r="C71" s="2">
        <f t="shared" si="6"/>
        <v>5.4434737880416701</v>
      </c>
      <c r="D71" s="2">
        <f t="shared" si="7"/>
        <v>2652.5823848649225</v>
      </c>
      <c r="E71" s="2">
        <f t="shared" si="8"/>
        <v>5.4434737880416684</v>
      </c>
    </row>
    <row r="72" spans="2:5">
      <c r="B72" s="2">
        <v>700</v>
      </c>
      <c r="C72" s="2">
        <f t="shared" si="6"/>
        <v>5.2525785630242385</v>
      </c>
      <c r="D72" s="2">
        <f t="shared" si="7"/>
        <v>2273.6420441699333</v>
      </c>
      <c r="E72" s="2">
        <f t="shared" si="8"/>
        <v>5.2525785630242394</v>
      </c>
    </row>
    <row r="73" spans="2:5">
      <c r="B73" s="2">
        <v>800</v>
      </c>
      <c r="C73" s="2">
        <f t="shared" si="6"/>
        <v>5.0422613234634319</v>
      </c>
      <c r="D73" s="2">
        <f t="shared" si="7"/>
        <v>1989.4367886486916</v>
      </c>
      <c r="E73" s="2">
        <f t="shared" si="8"/>
        <v>5.0422613234634319</v>
      </c>
    </row>
    <row r="74" spans="2:5">
      <c r="B74" s="2">
        <v>900</v>
      </c>
      <c r="C74" s="2">
        <f t="shared" si="6"/>
        <v>4.8156003381440184</v>
      </c>
      <c r="D74" s="2">
        <f t="shared" si="7"/>
        <v>1768.388256576615</v>
      </c>
      <c r="E74" s="2">
        <f t="shared" si="8"/>
        <v>4.8156003381440184</v>
      </c>
    </row>
    <row r="75" spans="2:5">
      <c r="B75" s="2">
        <v>1000</v>
      </c>
      <c r="C75" s="2">
        <f t="shared" si="6"/>
        <v>4.5755297970743367</v>
      </c>
      <c r="D75" s="2">
        <f t="shared" si="7"/>
        <v>1591.5494309189535</v>
      </c>
      <c r="E75" s="2">
        <f t="shared" si="8"/>
        <v>4.5755297970743385</v>
      </c>
    </row>
    <row r="76" spans="2:5">
      <c r="B76" s="2">
        <v>2000</v>
      </c>
      <c r="C76" s="2">
        <f t="shared" si="6"/>
        <v>1.9058562930049148</v>
      </c>
      <c r="D76" s="2">
        <f t="shared" si="7"/>
        <v>795.77471545947674</v>
      </c>
      <c r="E76" s="2">
        <f t="shared" si="8"/>
        <v>1.9058562930049148</v>
      </c>
    </row>
    <row r="77" spans="2:5">
      <c r="B77" s="2">
        <v>3000</v>
      </c>
      <c r="C77" s="2">
        <f t="shared" si="6"/>
        <v>-0.56243151715921647</v>
      </c>
      <c r="D77" s="2">
        <f t="shared" si="7"/>
        <v>530.51647697298449</v>
      </c>
      <c r="E77" s="2">
        <f t="shared" si="8"/>
        <v>-0.56243151715921436</v>
      </c>
    </row>
    <row r="78" spans="2:5">
      <c r="B78" s="2">
        <v>4000</v>
      </c>
      <c r="C78" s="2">
        <f t="shared" si="6"/>
        <v>-2.6224616455237775</v>
      </c>
      <c r="D78" s="2">
        <f t="shared" si="7"/>
        <v>397.88735772973837</v>
      </c>
      <c r="E78" s="2">
        <f t="shared" si="8"/>
        <v>-2.6224616455237775</v>
      </c>
    </row>
    <row r="79" spans="2:5">
      <c r="B79" s="2">
        <v>5000</v>
      </c>
      <c r="C79" s="2">
        <f t="shared" si="6"/>
        <v>-4.3415374691193422</v>
      </c>
      <c r="D79" s="2">
        <f t="shared" si="7"/>
        <v>318.30988618379064</v>
      </c>
      <c r="E79" s="2">
        <f t="shared" si="8"/>
        <v>-4.341537469119344</v>
      </c>
    </row>
    <row r="80" spans="2:5">
      <c r="B80" s="2">
        <v>6000</v>
      </c>
      <c r="C80" s="2">
        <f t="shared" ref="C80:C102" si="9">20*LOG($C$7/SQRT(1+(B80/$C$12)^2))</f>
        <v>-5.8013290137645939</v>
      </c>
      <c r="D80" s="2">
        <f t="shared" ref="D80:D102" si="10">1/(2*PI()*B80*$C$3*0.000001)</f>
        <v>265.25823848649225</v>
      </c>
      <c r="E80" s="2">
        <f t="shared" ref="E80:E102" si="11">20*LOG((1+$C$5/$C$4)*D80/SQRT(($C$2*1000)^2+D80^2))</f>
        <v>-5.8013290137645912</v>
      </c>
    </row>
    <row r="81" spans="2:5">
      <c r="B81" s="2">
        <v>7000</v>
      </c>
      <c r="C81" s="2">
        <f t="shared" si="9"/>
        <v>-7.063854204711701</v>
      </c>
      <c r="D81" s="2">
        <f t="shared" si="10"/>
        <v>227.36420441699337</v>
      </c>
      <c r="E81" s="2">
        <f t="shared" si="11"/>
        <v>-7.063854204711701</v>
      </c>
    </row>
    <row r="82" spans="2:5">
      <c r="B82" s="2">
        <v>8000</v>
      </c>
      <c r="C82" s="2">
        <f t="shared" si="9"/>
        <v>-8.1733704494618458</v>
      </c>
      <c r="D82" s="2">
        <f t="shared" si="10"/>
        <v>198.94367886486918</v>
      </c>
      <c r="E82" s="2">
        <f t="shared" si="11"/>
        <v>-8.1733704494618475</v>
      </c>
    </row>
    <row r="83" spans="2:5">
      <c r="B83" s="2">
        <v>9000</v>
      </c>
      <c r="C83" s="2">
        <f t="shared" si="9"/>
        <v>-9.1615797815075393</v>
      </c>
      <c r="D83" s="2">
        <f t="shared" si="10"/>
        <v>176.83882565766146</v>
      </c>
      <c r="E83" s="2">
        <f t="shared" si="11"/>
        <v>-9.161579781507541</v>
      </c>
    </row>
    <row r="84" spans="2:5">
      <c r="B84" s="2">
        <v>10000</v>
      </c>
      <c r="C84" s="2">
        <f t="shared" si="9"/>
        <v>-10.051635352525894</v>
      </c>
      <c r="D84" s="2">
        <f t="shared" si="10"/>
        <v>159.15494309189532</v>
      </c>
      <c r="E84" s="2">
        <f t="shared" si="11"/>
        <v>-10.051635352525896</v>
      </c>
    </row>
    <row r="85" spans="2:5">
      <c r="B85" s="2">
        <v>20000</v>
      </c>
      <c r="C85" s="2">
        <f t="shared" si="9"/>
        <v>-15.991012673110443</v>
      </c>
      <c r="D85" s="2">
        <f t="shared" si="10"/>
        <v>79.57747154594766</v>
      </c>
      <c r="E85" s="2">
        <f t="shared" si="11"/>
        <v>-15.991012673110443</v>
      </c>
    </row>
    <row r="86" spans="2:5">
      <c r="B86" s="2">
        <v>30000</v>
      </c>
      <c r="C86" s="2">
        <f t="shared" si="9"/>
        <v>-19.497628499345531</v>
      </c>
      <c r="D86" s="2">
        <f t="shared" si="10"/>
        <v>53.051647697298449</v>
      </c>
      <c r="E86" s="2">
        <f t="shared" si="11"/>
        <v>-19.497628499345527</v>
      </c>
    </row>
    <row r="87" spans="2:5">
      <c r="B87" s="2">
        <v>40000</v>
      </c>
      <c r="C87" s="2">
        <f t="shared" si="9"/>
        <v>-21.991067348560701</v>
      </c>
      <c r="D87" s="2">
        <f t="shared" si="10"/>
        <v>39.78873577297383</v>
      </c>
      <c r="E87" s="2">
        <f t="shared" si="11"/>
        <v>-21.991067348560701</v>
      </c>
    </row>
    <row r="88" spans="2:5">
      <c r="B88" s="2">
        <v>50000</v>
      </c>
      <c r="C88" s="2">
        <f t="shared" si="9"/>
        <v>-23.926795635973551</v>
      </c>
      <c r="D88" s="2">
        <f t="shared" si="10"/>
        <v>31.830988618379067</v>
      </c>
      <c r="E88" s="2">
        <f t="shared" si="11"/>
        <v>-23.926795635973551</v>
      </c>
    </row>
    <row r="89" spans="2:5">
      <c r="B89" s="2">
        <v>60000</v>
      </c>
      <c r="C89" s="2">
        <f t="shared" si="9"/>
        <v>-25.509077166934141</v>
      </c>
      <c r="D89" s="2">
        <f t="shared" si="10"/>
        <v>26.525823848649225</v>
      </c>
      <c r="E89" s="2">
        <f t="shared" si="11"/>
        <v>-25.509077166934141</v>
      </c>
    </row>
    <row r="90" spans="2:5">
      <c r="B90" s="2">
        <v>70000</v>
      </c>
      <c r="C90" s="2">
        <f t="shared" si="9"/>
        <v>-26.8472027368848</v>
      </c>
      <c r="D90" s="2">
        <f t="shared" si="10"/>
        <v>22.736420441699334</v>
      </c>
      <c r="E90" s="2">
        <f t="shared" si="11"/>
        <v>-26.8472027368848</v>
      </c>
    </row>
    <row r="91" spans="2:5">
      <c r="B91" s="2">
        <v>80000</v>
      </c>
      <c r="C91" s="2">
        <f t="shared" si="9"/>
        <v>-28.006515729867022</v>
      </c>
      <c r="D91" s="2">
        <f t="shared" si="10"/>
        <v>19.894367886486915</v>
      </c>
      <c r="E91" s="2">
        <f t="shared" si="11"/>
        <v>-28.006515729867022</v>
      </c>
    </row>
    <row r="92" spans="2:5">
      <c r="B92" s="2">
        <v>90000</v>
      </c>
      <c r="C92" s="2">
        <f t="shared" si="9"/>
        <v>-29.029205554769518</v>
      </c>
      <c r="D92" s="2">
        <f t="shared" si="10"/>
        <v>17.683882565766147</v>
      </c>
      <c r="E92" s="2">
        <f t="shared" si="11"/>
        <v>-29.029205554769518</v>
      </c>
    </row>
    <row r="93" spans="2:5">
      <c r="B93" s="2">
        <v>100000</v>
      </c>
      <c r="C93" s="2">
        <f t="shared" si="9"/>
        <v>-29.944097395353239</v>
      </c>
      <c r="D93" s="2">
        <f t="shared" si="10"/>
        <v>15.915494309189533</v>
      </c>
      <c r="E93" s="2">
        <f t="shared" si="11"/>
        <v>-29.944097395353239</v>
      </c>
    </row>
    <row r="94" spans="2:5">
      <c r="B94" s="2">
        <v>200000</v>
      </c>
      <c r="C94" s="2">
        <f t="shared" si="9"/>
        <v>-35.963872378648212</v>
      </c>
      <c r="D94" s="2">
        <f t="shared" si="10"/>
        <v>7.9577471545947667</v>
      </c>
      <c r="E94" s="2">
        <f t="shared" si="11"/>
        <v>-35.963872378648212</v>
      </c>
    </row>
    <row r="95" spans="2:5">
      <c r="B95" s="2">
        <v>300000</v>
      </c>
      <c r="C95" s="2">
        <f t="shared" si="9"/>
        <v>-39.48554477775297</v>
      </c>
      <c r="D95" s="2">
        <f t="shared" si="10"/>
        <v>5.3051647697298447</v>
      </c>
      <c r="E95" s="2">
        <f t="shared" si="11"/>
        <v>-39.48554477775297</v>
      </c>
    </row>
    <row r="96" spans="2:5">
      <c r="B96" s="2">
        <v>400000</v>
      </c>
      <c r="C96" s="2">
        <f t="shared" si="9"/>
        <v>-41.984266034946046</v>
      </c>
      <c r="D96" s="2">
        <f t="shared" si="10"/>
        <v>3.9788735772973833</v>
      </c>
      <c r="E96" s="2">
        <f t="shared" si="11"/>
        <v>-41.984266034946046</v>
      </c>
    </row>
    <row r="97" spans="2:5">
      <c r="B97" s="2">
        <v>500000</v>
      </c>
      <c r="C97" s="2">
        <f t="shared" si="9"/>
        <v>-43.922441543611086</v>
      </c>
      <c r="D97" s="2">
        <f t="shared" si="10"/>
        <v>3.1830988618379075</v>
      </c>
      <c r="E97" s="2">
        <f t="shared" si="11"/>
        <v>-43.922441543611086</v>
      </c>
    </row>
    <row r="98" spans="2:5">
      <c r="B98" s="2">
        <v>600000</v>
      </c>
      <c r="C98" s="2">
        <f t="shared" si="9"/>
        <v>-45.506053019247325</v>
      </c>
      <c r="D98" s="2">
        <f t="shared" si="10"/>
        <v>2.6525823848649224</v>
      </c>
      <c r="E98" s="2">
        <f t="shared" si="11"/>
        <v>-45.506053019247325</v>
      </c>
    </row>
    <row r="99" spans="2:5">
      <c r="B99" s="2">
        <v>700000</v>
      </c>
      <c r="C99" s="2">
        <f t="shared" si="9"/>
        <v>-46.844980704737821</v>
      </c>
      <c r="D99" s="2">
        <f t="shared" si="10"/>
        <v>2.2736420441699337</v>
      </c>
      <c r="E99" s="2">
        <f t="shared" si="11"/>
        <v>-46.844980704737821</v>
      </c>
    </row>
    <row r="100" spans="2:5">
      <c r="B100" s="2">
        <v>800000</v>
      </c>
      <c r="C100" s="2">
        <f t="shared" si="9"/>
        <v>-48.004814382449624</v>
      </c>
      <c r="D100" s="2">
        <f t="shared" si="10"/>
        <v>1.9894367886486917</v>
      </c>
      <c r="E100" s="2">
        <f t="shared" si="11"/>
        <v>-48.004814382449624</v>
      </c>
    </row>
    <row r="101" spans="2:5">
      <c r="B101" s="2">
        <v>900000</v>
      </c>
      <c r="C101" s="2">
        <f t="shared" si="9"/>
        <v>-49.02786122389206</v>
      </c>
      <c r="D101" s="2">
        <f t="shared" si="10"/>
        <v>1.7683882565766149</v>
      </c>
      <c r="E101" s="2">
        <f t="shared" si="11"/>
        <v>-49.02786122389206</v>
      </c>
    </row>
    <row r="102" spans="2:5">
      <c r="B102" s="2">
        <v>1000000</v>
      </c>
      <c r="C102" s="2">
        <f t="shared" si="9"/>
        <v>-49.943008454676487</v>
      </c>
      <c r="D102" s="2">
        <f t="shared" si="10"/>
        <v>1.5915494309189537</v>
      </c>
      <c r="E102" s="2">
        <f t="shared" si="11"/>
        <v>-49.94300845467648</v>
      </c>
    </row>
  </sheetData>
  <hyperlinks>
    <hyperlink ref="P32" r:id="rId1" xr:uid="{65F15C1F-6E7D-497D-BA2F-B0FDAF5CA136}"/>
  </hyperlinks>
  <pageMargins left="0.7" right="0.7" top="0.75" bottom="0.75" header="0.3" footer="0.3"/>
  <pageSetup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F26C97-7EC9-4CB7-9904-11F100C5615F}">
  <dimension ref="B1:AJ101"/>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36" ht="47.25" thickBot="1">
      <c r="B1" s="1" t="s">
        <v>295</v>
      </c>
    </row>
    <row r="2" spans="2:36" ht="15.75" thickBot="1">
      <c r="B2" s="2" t="s">
        <v>12</v>
      </c>
      <c r="C2" s="4">
        <v>1</v>
      </c>
      <c r="D2" s="2" t="s">
        <v>16</v>
      </c>
      <c r="E2" s="33" t="s">
        <v>287</v>
      </c>
      <c r="F2" s="9">
        <f>2*PI()*C9</f>
        <v>6283.1853071795858</v>
      </c>
      <c r="H2" s="6" t="s">
        <v>36</v>
      </c>
    </row>
    <row r="3" spans="2:36" ht="15.75" thickBot="1">
      <c r="B3" s="2" t="s">
        <v>15</v>
      </c>
      <c r="C3" s="4">
        <v>1</v>
      </c>
      <c r="D3" s="2" t="s">
        <v>16</v>
      </c>
      <c r="E3" s="2" t="s">
        <v>291</v>
      </c>
      <c r="F3" s="9">
        <f>1/SQRT(1+(F2*C3*1000*C4*0.000001)^2)</f>
        <v>0.84673301596483053</v>
      </c>
      <c r="H3" s="2" t="s">
        <v>9</v>
      </c>
      <c r="I3" s="4">
        <v>5</v>
      </c>
      <c r="J3" s="2" t="s">
        <v>18</v>
      </c>
    </row>
    <row r="4" spans="2:36" ht="15.75" thickBot="1">
      <c r="B4" s="2" t="s">
        <v>82</v>
      </c>
      <c r="C4" s="4">
        <v>0.1</v>
      </c>
      <c r="D4" s="2" t="s">
        <v>83</v>
      </c>
      <c r="E4" s="33" t="s">
        <v>288</v>
      </c>
      <c r="F4" s="9">
        <f>-ATAN(F2*C3*1000*C4*0.000001)</f>
        <v>-0.5609821161086237</v>
      </c>
      <c r="G4" s="2" t="s">
        <v>290</v>
      </c>
      <c r="H4" s="2" t="s">
        <v>10</v>
      </c>
      <c r="I4" s="5">
        <v>-5</v>
      </c>
      <c r="J4" s="2" t="s">
        <v>19</v>
      </c>
      <c r="AJ4"/>
    </row>
    <row r="5" spans="2:36" ht="15.75" thickBot="1">
      <c r="B5" s="2" t="s">
        <v>0</v>
      </c>
      <c r="C5" s="3">
        <v>0</v>
      </c>
      <c r="D5" s="2" t="s">
        <v>17</v>
      </c>
      <c r="E5" s="17" t="s">
        <v>286</v>
      </c>
      <c r="F5" s="9">
        <f>ABS(F4)/F2</f>
        <v>8.9283076764839039E-5</v>
      </c>
      <c r="G5" s="2" t="s">
        <v>289</v>
      </c>
      <c r="H5" s="2" t="s">
        <v>31</v>
      </c>
      <c r="I5" s="4">
        <v>1.2</v>
      </c>
      <c r="J5" s="2" t="s">
        <v>32</v>
      </c>
    </row>
    <row r="6" spans="2:36">
      <c r="B6" s="2" t="s">
        <v>1</v>
      </c>
      <c r="C6" s="3">
        <f>1+C3/C2</f>
        <v>2</v>
      </c>
      <c r="D6" s="2" t="s">
        <v>39</v>
      </c>
    </row>
    <row r="7" spans="2:36" ht="15.75" thickBot="1">
      <c r="B7" s="2" t="s">
        <v>97</v>
      </c>
      <c r="C7" s="3">
        <f>1/(2*PI()*C9*C4*0.000001)</f>
        <v>1591.5494309189535</v>
      </c>
      <c r="D7" s="2" t="s">
        <v>214</v>
      </c>
      <c r="H7" s="6" t="s">
        <v>33</v>
      </c>
    </row>
    <row r="8" spans="2:36" ht="15.75" thickBot="1">
      <c r="B8" s="2" t="s">
        <v>25</v>
      </c>
      <c r="C8" s="4">
        <v>1</v>
      </c>
      <c r="D8" s="2" t="s">
        <v>38</v>
      </c>
      <c r="H8" s="6" t="s">
        <v>29</v>
      </c>
      <c r="I8" s="4">
        <v>1</v>
      </c>
      <c r="J8" s="2" t="s">
        <v>17</v>
      </c>
    </row>
    <row r="9" spans="2:36" ht="15.75" thickBot="1">
      <c r="B9" s="2" t="s">
        <v>84</v>
      </c>
      <c r="C9" s="4">
        <v>1000</v>
      </c>
      <c r="D9" s="2" t="s">
        <v>80</v>
      </c>
      <c r="H9" s="6" t="s">
        <v>34</v>
      </c>
      <c r="I9" s="3">
        <f>IF($C$6*I8/SQRT(1+($C$9/$C$11)^2)&gt;($I$3-$I$5),($I$3-$I$5),IF($C$6*I8/SQRT(1+($C$9/$C$11)^2)&lt;($I$4+$I$5),($I$4+$I$5),$C$6*I8/SQRT(1+($C$9/$C$11)^2)))</f>
        <v>1.6934660319296611</v>
      </c>
      <c r="J9" s="2" t="s">
        <v>17</v>
      </c>
    </row>
    <row r="10" spans="2:36">
      <c r="B10" s="2" t="s">
        <v>87</v>
      </c>
      <c r="C10" s="3">
        <f>1/C9</f>
        <v>1E-3</v>
      </c>
      <c r="D10" s="2" t="s">
        <v>86</v>
      </c>
    </row>
    <row r="11" spans="2:36" ht="15.75" thickBot="1">
      <c r="B11" s="2" t="s">
        <v>81</v>
      </c>
      <c r="C11" s="3">
        <f>1/(2*PI()*(C3*1000)*(C4*0.000001))</f>
        <v>1591.5494309189537</v>
      </c>
      <c r="D11" s="2" t="s">
        <v>80</v>
      </c>
      <c r="H11" s="6" t="s">
        <v>196</v>
      </c>
    </row>
    <row r="12" spans="2:36" ht="15.75" thickBot="1">
      <c r="B12" s="2" t="s">
        <v>89</v>
      </c>
      <c r="C12" s="4">
        <v>4</v>
      </c>
      <c r="D12" s="2" t="s">
        <v>90</v>
      </c>
      <c r="H12" s="17" t="s">
        <v>104</v>
      </c>
      <c r="I12" s="3">
        <f>1000*(C3*1000)*(C4*0.000001)</f>
        <v>9.9999999999999992E-2</v>
      </c>
      <c r="J12" s="2" t="s">
        <v>105</v>
      </c>
    </row>
    <row r="13" spans="2:36">
      <c r="B13" s="2" t="s">
        <v>88</v>
      </c>
      <c r="C13" s="3">
        <f>C10*C12/25</f>
        <v>1.6000000000000001E-4</v>
      </c>
      <c r="D13" s="2" t="s">
        <v>86</v>
      </c>
      <c r="H13" s="17" t="s">
        <v>195</v>
      </c>
      <c r="I13" s="3">
        <f>1/(I12*0.001)</f>
        <v>10000</v>
      </c>
      <c r="J13" s="2" t="s">
        <v>80</v>
      </c>
    </row>
    <row r="15" spans="2:36">
      <c r="E15" s="6" t="s">
        <v>30</v>
      </c>
    </row>
    <row r="16" spans="2:36">
      <c r="B16" s="7" t="s">
        <v>85</v>
      </c>
      <c r="C16" s="7" t="s">
        <v>7</v>
      </c>
      <c r="D16" s="7" t="s">
        <v>3</v>
      </c>
      <c r="E16" s="7" t="s">
        <v>3</v>
      </c>
      <c r="F16" s="28" t="s">
        <v>222</v>
      </c>
      <c r="G16" s="28"/>
    </row>
    <row r="17" spans="2:27">
      <c r="B17" s="2">
        <v>0</v>
      </c>
      <c r="C17" s="2">
        <f t="shared" ref="C17:C42" si="0">$C$8*SIN($B17*$C$9*2*PI())</f>
        <v>0</v>
      </c>
      <c r="D17" s="2">
        <f>$C$6*$F$3*$C$8*SIN($F$2*B17+$F$4)</f>
        <v>-0.90095448673677725</v>
      </c>
      <c r="E17" s="2">
        <f t="shared" ref="E17:E42" si="1">IF(D17&gt;($I$3-$I$5),($I$3-$I$5),IF(D17&lt;($I$4+$I$5),($I$4+$I$5),D17))</f>
        <v>-0.90095448673677725</v>
      </c>
      <c r="F17" s="28">
        <f>C17*(1+(1/SQRT((1/$C$7)^2+(1/($C$3*1000))^2))/($C$2*1000))</f>
        <v>0</v>
      </c>
      <c r="G17" s="28"/>
    </row>
    <row r="18" spans="2:27">
      <c r="B18" s="2">
        <f t="shared" ref="B18:B42" si="2">B17+$C$13</f>
        <v>1.6000000000000001E-4</v>
      </c>
      <c r="C18" s="2">
        <f t="shared" si="0"/>
        <v>0.84432792550201508</v>
      </c>
      <c r="D18" s="2">
        <f t="shared" ref="D18:D42" si="3">$C$6*$F$3*$C$8*SIN($F$2*B18+$F$4)</f>
        <v>0.72793774073565276</v>
      </c>
      <c r="E18" s="2">
        <f t="shared" si="1"/>
        <v>0.72793774073565276</v>
      </c>
      <c r="F18" s="28">
        <f t="shared" ref="F18:F42" si="4">C18*(1+(1/SQRT((1/$C$7)^2+(1/($C$3*1000))^2))/($C$2*1000))</f>
        <v>1.5592482563256649</v>
      </c>
      <c r="G18" s="28"/>
    </row>
    <row r="19" spans="2:27">
      <c r="B19" s="2">
        <f t="shared" si="2"/>
        <v>3.2000000000000003E-4</v>
      </c>
      <c r="C19" s="2">
        <f t="shared" si="0"/>
        <v>0.90482705246601947</v>
      </c>
      <c r="D19" s="2">
        <f t="shared" si="3"/>
        <v>1.6810515798620504</v>
      </c>
      <c r="E19" s="2">
        <f t="shared" si="1"/>
        <v>1.6810515798620504</v>
      </c>
      <c r="F19" s="28">
        <f t="shared" si="4"/>
        <v>1.6709739915271398</v>
      </c>
      <c r="G19" s="28"/>
    </row>
    <row r="20" spans="2:27">
      <c r="B20" s="2">
        <f t="shared" si="2"/>
        <v>4.8000000000000007E-4</v>
      </c>
      <c r="C20" s="2">
        <f t="shared" si="0"/>
        <v>0.12533323356430365</v>
      </c>
      <c r="D20" s="2">
        <f t="shared" si="3"/>
        <v>1.0735672197280697</v>
      </c>
      <c r="E20" s="2">
        <f t="shared" si="1"/>
        <v>1.0735672197280697</v>
      </c>
      <c r="F20" s="28">
        <f t="shared" si="4"/>
        <v>0.23145702042083097</v>
      </c>
      <c r="G20" s="28"/>
    </row>
    <row r="21" spans="2:27">
      <c r="B21" s="2">
        <f t="shared" si="2"/>
        <v>6.4000000000000005E-4</v>
      </c>
      <c r="C21" s="2">
        <f t="shared" si="0"/>
        <v>-0.77051324277578936</v>
      </c>
      <c r="D21" s="2">
        <f t="shared" si="3"/>
        <v>-0.53055941477924307</v>
      </c>
      <c r="E21" s="2">
        <f t="shared" si="1"/>
        <v>-0.53055941477924307</v>
      </c>
      <c r="F21" s="28">
        <f t="shared" si="4"/>
        <v>-1.4229322446721751</v>
      </c>
      <c r="G21" s="28"/>
    </row>
    <row r="22" spans="2:27">
      <c r="B22" s="2">
        <f t="shared" si="2"/>
        <v>8.0000000000000004E-4</v>
      </c>
      <c r="C22" s="2">
        <f t="shared" si="0"/>
        <v>-0.95105651629515364</v>
      </c>
      <c r="D22" s="2">
        <f t="shared" si="3"/>
        <v>-1.642143121262257</v>
      </c>
      <c r="E22" s="2">
        <f t="shared" si="1"/>
        <v>-1.642143121262257</v>
      </c>
      <c r="F22" s="28">
        <f t="shared" si="4"/>
        <v>-1.7563474686907539</v>
      </c>
      <c r="G22" s="28"/>
    </row>
    <row r="23" spans="2:27">
      <c r="B23" s="2">
        <f t="shared" si="2"/>
        <v>9.6000000000000002E-4</v>
      </c>
      <c r="C23" s="2">
        <f t="shared" si="0"/>
        <v>-0.24868988716485449</v>
      </c>
      <c r="D23" s="2">
        <f t="shared" si="3"/>
        <v>-1.2292491563462806</v>
      </c>
      <c r="E23" s="2">
        <f t="shared" si="1"/>
        <v>-1.2292491563462806</v>
      </c>
      <c r="F23" s="28">
        <f t="shared" si="4"/>
        <v>-0.45926382536390509</v>
      </c>
      <c r="G23" s="28"/>
    </row>
    <row r="24" spans="2:27">
      <c r="B24" s="2">
        <f t="shared" si="2"/>
        <v>1.1200000000000001E-3</v>
      </c>
      <c r="C24" s="2">
        <f t="shared" si="0"/>
        <v>0.68454710592868928</v>
      </c>
      <c r="D24" s="2">
        <f t="shared" si="3"/>
        <v>0.32481384991093293</v>
      </c>
      <c r="E24" s="2">
        <f t="shared" si="1"/>
        <v>0.32481384991093293</v>
      </c>
      <c r="F24" s="28">
        <f t="shared" si="4"/>
        <v>1.2641757415016845</v>
      </c>
      <c r="G24" s="28"/>
    </row>
    <row r="25" spans="2:27">
      <c r="B25" s="2">
        <f t="shared" si="2"/>
        <v>1.2800000000000001E-3</v>
      </c>
      <c r="C25" s="2">
        <f t="shared" si="0"/>
        <v>0.98228725072868861</v>
      </c>
      <c r="D25" s="2">
        <f t="shared" si="3"/>
        <v>1.577337084671407</v>
      </c>
      <c r="E25" s="2">
        <f t="shared" si="1"/>
        <v>1.577337084671407</v>
      </c>
      <c r="F25" s="28">
        <f t="shared" si="4"/>
        <v>1.8140222970819926</v>
      </c>
      <c r="G25" s="28"/>
    </row>
    <row r="26" spans="2:27">
      <c r="B26" s="2">
        <f t="shared" si="2"/>
        <v>1.4400000000000001E-3</v>
      </c>
      <c r="C26" s="2">
        <f t="shared" si="0"/>
        <v>0.36812455268467797</v>
      </c>
      <c r="D26" s="2">
        <f t="shared" si="3"/>
        <v>1.3655450994510565</v>
      </c>
      <c r="E26" s="2">
        <f t="shared" si="1"/>
        <v>1.3655450994510565</v>
      </c>
      <c r="F26" s="28">
        <f t="shared" si="4"/>
        <v>0.67982776543007939</v>
      </c>
      <c r="G26" s="28"/>
    </row>
    <row r="27" spans="2:27">
      <c r="B27" s="2">
        <f t="shared" si="2"/>
        <v>1.6000000000000001E-3</v>
      </c>
      <c r="C27" s="2">
        <f t="shared" si="0"/>
        <v>-0.5877852522924728</v>
      </c>
      <c r="D27" s="2">
        <f t="shared" si="3"/>
        <v>-0.11394577659513644</v>
      </c>
      <c r="E27" s="2">
        <f t="shared" si="1"/>
        <v>-0.11394577659513644</v>
      </c>
      <c r="F27" s="28">
        <f t="shared" si="4"/>
        <v>-1.085482431705727</v>
      </c>
      <c r="G27" s="28"/>
    </row>
    <row r="28" spans="2:27">
      <c r="B28" s="2">
        <f t="shared" si="2"/>
        <v>1.7600000000000001E-3</v>
      </c>
      <c r="C28" s="2">
        <f t="shared" si="0"/>
        <v>-0.99802672842827156</v>
      </c>
      <c r="D28" s="2">
        <f t="shared" si="3"/>
        <v>-1.487655499999786</v>
      </c>
      <c r="E28" s="2">
        <f t="shared" si="1"/>
        <v>-1.487655499999786</v>
      </c>
      <c r="F28" s="28">
        <f t="shared" si="4"/>
        <v>-1.8430889102038546</v>
      </c>
      <c r="G28" s="28"/>
      <c r="Z28" s="6" t="s">
        <v>280</v>
      </c>
      <c r="AA28" s="30" t="s">
        <v>219</v>
      </c>
    </row>
    <row r="29" spans="2:27">
      <c r="B29" s="2">
        <f t="shared" si="2"/>
        <v>1.92E-3</v>
      </c>
      <c r="C29" s="2">
        <f t="shared" si="0"/>
        <v>-0.48175367410171477</v>
      </c>
      <c r="D29" s="2">
        <f t="shared" si="3"/>
        <v>-1.4803055806003886</v>
      </c>
      <c r="E29" s="2">
        <f t="shared" si="1"/>
        <v>-1.4803055806003886</v>
      </c>
      <c r="F29" s="28">
        <f t="shared" si="4"/>
        <v>-0.88967041552599768</v>
      </c>
      <c r="G29" s="28"/>
    </row>
    <row r="30" spans="2:27">
      <c r="B30" s="2">
        <f t="shared" si="2"/>
        <v>2.0800000000000003E-3</v>
      </c>
      <c r="C30" s="2">
        <f t="shared" si="0"/>
        <v>0.48175367410171543</v>
      </c>
      <c r="D30" s="2">
        <f t="shared" si="3"/>
        <v>-9.871928968546996E-2</v>
      </c>
      <c r="E30" s="2">
        <f t="shared" si="1"/>
        <v>-9.871928968546996E-2</v>
      </c>
      <c r="F30" s="28">
        <f t="shared" si="4"/>
        <v>0.8896704155259989</v>
      </c>
      <c r="G30" s="28"/>
    </row>
    <row r="31" spans="2:27">
      <c r="B31" s="2">
        <f t="shared" si="2"/>
        <v>2.2400000000000002E-3</v>
      </c>
      <c r="C31" s="2">
        <f t="shared" si="0"/>
        <v>0.99802672842827167</v>
      </c>
      <c r="D31" s="2">
        <f t="shared" si="3"/>
        <v>1.3745126994108501</v>
      </c>
      <c r="E31" s="2">
        <f t="shared" si="1"/>
        <v>1.3745126994108501</v>
      </c>
      <c r="F31" s="28">
        <f t="shared" si="4"/>
        <v>1.8430889102038548</v>
      </c>
      <c r="G31" s="28"/>
    </row>
    <row r="32" spans="2:27">
      <c r="B32" s="2">
        <f t="shared" si="2"/>
        <v>2.4000000000000002E-3</v>
      </c>
      <c r="C32" s="2">
        <f t="shared" si="0"/>
        <v>0.58778525229247214</v>
      </c>
      <c r="D32" s="2">
        <f t="shared" si="3"/>
        <v>1.5717207584519604</v>
      </c>
      <c r="E32" s="2">
        <f t="shared" si="1"/>
        <v>1.5717207584519604</v>
      </c>
      <c r="F32" s="28">
        <f t="shared" si="4"/>
        <v>1.0854824317057257</v>
      </c>
      <c r="G32" s="28"/>
    </row>
    <row r="33" spans="2:34">
      <c r="B33" s="2">
        <f t="shared" si="2"/>
        <v>2.5600000000000002E-3</v>
      </c>
      <c r="C33" s="2">
        <f t="shared" si="0"/>
        <v>-0.3681245526846787</v>
      </c>
      <c r="D33" s="2">
        <f t="shared" si="3"/>
        <v>0.3098274937956913</v>
      </c>
      <c r="E33" s="2">
        <f t="shared" si="1"/>
        <v>0.3098274937956913</v>
      </c>
      <c r="F33" s="28">
        <f t="shared" si="4"/>
        <v>-0.67982776543008072</v>
      </c>
      <c r="G33" s="28"/>
    </row>
    <row r="34" spans="2:34">
      <c r="B34" s="2">
        <f t="shared" si="2"/>
        <v>2.7200000000000002E-3</v>
      </c>
      <c r="C34" s="2">
        <f t="shared" si="0"/>
        <v>-0.98228725072868905</v>
      </c>
      <c r="D34" s="2">
        <f t="shared" si="3"/>
        <v>-1.2396930124581187</v>
      </c>
      <c r="E34" s="2">
        <f t="shared" si="1"/>
        <v>-1.2396930124581187</v>
      </c>
      <c r="F34" s="28">
        <f t="shared" si="4"/>
        <v>-1.8140222970819935</v>
      </c>
      <c r="G34" s="28"/>
    </row>
    <row r="35" spans="2:34">
      <c r="B35" s="2">
        <f t="shared" si="2"/>
        <v>2.8800000000000002E-3</v>
      </c>
      <c r="C35" s="2">
        <f t="shared" si="0"/>
        <v>-0.68454710592868862</v>
      </c>
      <c r="D35" s="2">
        <f t="shared" si="3"/>
        <v>-1.6383489610422735</v>
      </c>
      <c r="E35" s="2">
        <f t="shared" si="1"/>
        <v>-1.6383489610422735</v>
      </c>
      <c r="F35" s="28">
        <f t="shared" si="4"/>
        <v>-1.2641757415016832</v>
      </c>
      <c r="G35" s="28"/>
    </row>
    <row r="36" spans="2:34">
      <c r="B36" s="2">
        <f t="shared" si="2"/>
        <v>3.0400000000000002E-3</v>
      </c>
      <c r="C36" s="2">
        <f t="shared" si="0"/>
        <v>0.24868988716485269</v>
      </c>
      <c r="D36" s="2">
        <f t="shared" si="3"/>
        <v>-0.51604953324678404</v>
      </c>
      <c r="E36" s="2">
        <f t="shared" si="1"/>
        <v>-0.51604953324678404</v>
      </c>
      <c r="F36" s="28">
        <f t="shared" si="4"/>
        <v>0.45926382536390176</v>
      </c>
      <c r="G36" s="28"/>
      <c r="H36" s="6" t="s">
        <v>65</v>
      </c>
      <c r="AH36" s="2" t="s">
        <v>281</v>
      </c>
    </row>
    <row r="37" spans="2:34">
      <c r="B37" s="2">
        <f t="shared" si="2"/>
        <v>3.2000000000000002E-3</v>
      </c>
      <c r="C37" s="2">
        <f t="shared" si="0"/>
        <v>0.95105651629515331</v>
      </c>
      <c r="D37" s="2">
        <f t="shared" si="3"/>
        <v>1.0853226261422131</v>
      </c>
      <c r="E37" s="2">
        <f t="shared" si="1"/>
        <v>1.0853226261422131</v>
      </c>
      <c r="F37" s="28">
        <f t="shared" si="4"/>
        <v>1.7563474686907532</v>
      </c>
      <c r="G37" s="28"/>
      <c r="H37" s="12" t="s">
        <v>64</v>
      </c>
      <c r="I37" s="12">
        <f>I3</f>
        <v>5</v>
      </c>
      <c r="J37" s="12" t="s">
        <v>17</v>
      </c>
      <c r="K37" s="13" t="str">
        <f>TRIM(H37)&amp;"   "&amp;IF(I37&gt;0,"+","")&amp;TRIM(I37)&amp;" "&amp;TRIM(J37)</f>
        <v>V+:   +5 V</v>
      </c>
    </row>
    <row r="38" spans="2:34">
      <c r="B38" s="2">
        <f t="shared" si="2"/>
        <v>3.3600000000000001E-3</v>
      </c>
      <c r="C38" s="2">
        <f t="shared" si="0"/>
        <v>0.77051324277578881</v>
      </c>
      <c r="D38" s="2">
        <f t="shared" si="3"/>
        <v>1.679139421814722</v>
      </c>
      <c r="E38" s="2">
        <f t="shared" si="1"/>
        <v>1.679139421814722</v>
      </c>
      <c r="F38" s="28">
        <f t="shared" si="4"/>
        <v>1.4229322446721739</v>
      </c>
      <c r="G38" s="28"/>
      <c r="H38" s="12" t="s">
        <v>66</v>
      </c>
      <c r="I38" s="12">
        <f>I4</f>
        <v>-5</v>
      </c>
      <c r="J38" s="12" t="s">
        <v>17</v>
      </c>
      <c r="K38" s="13" t="str">
        <f t="shared" ref="K38:K39" si="5">TRIM(H38)&amp;"   "&amp;IF(I38&gt;0,"+","")&amp;TRIM(I38)&amp;" "&amp;TRIM(J38)</f>
        <v>V-:   -5 V</v>
      </c>
    </row>
    <row r="39" spans="2:34">
      <c r="B39" s="2">
        <f t="shared" si="2"/>
        <v>3.5200000000000001E-3</v>
      </c>
      <c r="C39" s="2">
        <f t="shared" si="0"/>
        <v>-0.12533323356430268</v>
      </c>
      <c r="D39" s="2">
        <f t="shared" si="3"/>
        <v>0.71413316328552334</v>
      </c>
      <c r="E39" s="2">
        <f t="shared" si="1"/>
        <v>0.71413316328552334</v>
      </c>
      <c r="F39" s="28">
        <f t="shared" si="4"/>
        <v>-0.23145702042082919</v>
      </c>
      <c r="G39" s="28"/>
      <c r="H39" s="12" t="s">
        <v>29</v>
      </c>
      <c r="I39" s="12">
        <f>I8</f>
        <v>1</v>
      </c>
      <c r="J39" s="12" t="s">
        <v>17</v>
      </c>
      <c r="K39" s="13" t="str">
        <f t="shared" si="5"/>
        <v>Vin:   +1 V</v>
      </c>
    </row>
    <row r="40" spans="2:34">
      <c r="B40" s="2">
        <f t="shared" si="2"/>
        <v>3.6800000000000001E-3</v>
      </c>
      <c r="C40" s="2">
        <f t="shared" si="0"/>
        <v>-0.90482705246601947</v>
      </c>
      <c r="D40" s="2">
        <f t="shared" si="3"/>
        <v>-0.91383605367173482</v>
      </c>
      <c r="E40" s="2">
        <f t="shared" si="1"/>
        <v>-0.91383605367173482</v>
      </c>
      <c r="F40" s="28">
        <f t="shared" si="4"/>
        <v>-1.6709739915271398</v>
      </c>
      <c r="G40" s="28"/>
      <c r="H40" s="12" t="s">
        <v>67</v>
      </c>
      <c r="I40" s="12">
        <f>C2</f>
        <v>1</v>
      </c>
      <c r="J40" s="12" t="s">
        <v>16</v>
      </c>
      <c r="K40" s="13" t="str">
        <f>TRIM(H40)&amp;"   "&amp;TRIM(I40)&amp;" "&amp;TRIM(J40)</f>
        <v>R1:   1 K</v>
      </c>
    </row>
    <row r="41" spans="2:34">
      <c r="B41" s="2">
        <f t="shared" si="2"/>
        <v>3.8400000000000001E-3</v>
      </c>
      <c r="C41" s="2">
        <f t="shared" si="0"/>
        <v>-0.84432792550201441</v>
      </c>
      <c r="D41" s="2">
        <f t="shared" si="3"/>
        <v>-1.6934488508358814</v>
      </c>
      <c r="E41" s="2">
        <f t="shared" si="1"/>
        <v>-1.6934488508358814</v>
      </c>
      <c r="F41" s="28">
        <f t="shared" si="4"/>
        <v>-1.5592482563256636</v>
      </c>
      <c r="G41" s="28"/>
      <c r="H41" s="12" t="s">
        <v>68</v>
      </c>
      <c r="I41" s="12">
        <f>C3</f>
        <v>1</v>
      </c>
      <c r="J41" s="12" t="s">
        <v>16</v>
      </c>
      <c r="K41" s="13" t="str">
        <f>TRIM(H41)&amp;"   "&amp;TRIM(I41)&amp;" "&amp;TRIM(J41)</f>
        <v>RF:   1 K</v>
      </c>
    </row>
    <row r="42" spans="2:34">
      <c r="B42" s="2">
        <f t="shared" si="2"/>
        <v>4.0000000000000001E-3</v>
      </c>
      <c r="C42" s="2">
        <f t="shared" si="0"/>
        <v>-9.8011876392689601E-16</v>
      </c>
      <c r="D42" s="2">
        <f t="shared" si="3"/>
        <v>-0.90095448673677669</v>
      </c>
      <c r="E42" s="2">
        <f t="shared" si="1"/>
        <v>-0.90095448673677669</v>
      </c>
      <c r="F42" s="28">
        <f t="shared" si="4"/>
        <v>-1.8100176809104384E-15</v>
      </c>
      <c r="G42" s="28"/>
      <c r="H42" s="12" t="s">
        <v>100</v>
      </c>
      <c r="I42" s="12">
        <f>C4</f>
        <v>0.1</v>
      </c>
      <c r="J42" s="12" t="s">
        <v>83</v>
      </c>
      <c r="K42" s="13" t="str">
        <f>TRIM(H42)&amp;"   "&amp;TRIM(I42)&amp;" "&amp;TRIM(J42)</f>
        <v>C1:   0.1 uF</v>
      </c>
    </row>
    <row r="43" spans="2:34">
      <c r="H43" s="12" t="s">
        <v>101</v>
      </c>
      <c r="I43" s="12">
        <f>ROUND(C9,0)</f>
        <v>1000</v>
      </c>
      <c r="J43" s="12" t="s">
        <v>80</v>
      </c>
      <c r="K43" s="13" t="str">
        <f>TRIM(H43)&amp;"   "&amp;TRIM(I43)&amp;" "&amp;TRIM(J43)</f>
        <v>f,signal:   1000 Hz</v>
      </c>
    </row>
    <row r="44" spans="2:34">
      <c r="B44" s="6" t="s">
        <v>92</v>
      </c>
    </row>
    <row r="45" spans="2:34" ht="15.75">
      <c r="B45" s="14"/>
      <c r="C45" s="2" t="s">
        <v>95</v>
      </c>
    </row>
    <row r="46" spans="2:34">
      <c r="B46" s="7" t="s">
        <v>93</v>
      </c>
      <c r="C46" s="7" t="s">
        <v>94</v>
      </c>
      <c r="D46" s="7" t="s">
        <v>97</v>
      </c>
      <c r="E46" s="7" t="s">
        <v>218</v>
      </c>
    </row>
    <row r="47" spans="2:34">
      <c r="B47" s="2">
        <v>1</v>
      </c>
      <c r="C47" s="2">
        <f>20*LOG((1+($C$3/$C$2)*(1/SQRT(1+(B47/$C$11)^2))))</f>
        <v>6.0205990560168896</v>
      </c>
      <c r="D47" s="2">
        <f t="shared" ref="D47:D78" si="6">1/(2*PI()*B47*$C$4*0.000001)</f>
        <v>1591549.4309189534</v>
      </c>
      <c r="E47" s="2">
        <f>20*LOG((1+(1/SQRT((1/$D47)^2+(1/($C$3*1000))^2))/($C$2*1000)))</f>
        <v>6.0205990560168896</v>
      </c>
    </row>
    <row r="48" spans="2:34">
      <c r="B48" s="2">
        <v>2</v>
      </c>
      <c r="C48" s="2">
        <f t="shared" ref="C48:C101" si="7">20*LOG((1+($C$3/$C$2)*(1/SQRT(1+(B48/$C$11)^2))))</f>
        <v>6.0205964842312252</v>
      </c>
      <c r="D48" s="2">
        <f t="shared" si="6"/>
        <v>795774.71545947669</v>
      </c>
      <c r="E48" s="2">
        <f t="shared" ref="E48:E101" si="8">20*LOG((1+(1/SQRT((1/$D48)^2+(1/($C$3*1000))^2))/($C$2*1000)))</f>
        <v>6.0205964842312252</v>
      </c>
    </row>
    <row r="49" spans="2:5">
      <c r="B49" s="2">
        <v>3</v>
      </c>
      <c r="C49" s="2">
        <f t="shared" si="7"/>
        <v>6.0205921979302435</v>
      </c>
      <c r="D49" s="2">
        <f t="shared" si="6"/>
        <v>530516.4769729845</v>
      </c>
      <c r="E49" s="2">
        <f t="shared" si="8"/>
        <v>6.0205921979302435</v>
      </c>
    </row>
    <row r="50" spans="2:5">
      <c r="B50" s="2">
        <v>4</v>
      </c>
      <c r="C50" s="2">
        <f t="shared" si="7"/>
        <v>6.0205861971266375</v>
      </c>
      <c r="D50" s="2">
        <f t="shared" si="6"/>
        <v>397887.35772973835</v>
      </c>
      <c r="E50" s="2">
        <f t="shared" si="8"/>
        <v>6.0205861971266375</v>
      </c>
    </row>
    <row r="51" spans="2:5">
      <c r="B51" s="2">
        <v>5</v>
      </c>
      <c r="C51" s="2">
        <f t="shared" si="7"/>
        <v>6.0205784818381751</v>
      </c>
      <c r="D51" s="2">
        <f t="shared" si="6"/>
        <v>318309.88618379069</v>
      </c>
      <c r="E51" s="2">
        <f t="shared" si="8"/>
        <v>6.0205784818381733</v>
      </c>
    </row>
    <row r="52" spans="2:5">
      <c r="B52" s="2">
        <v>6</v>
      </c>
      <c r="C52" s="2">
        <f t="shared" si="7"/>
        <v>6.020569052087696</v>
      </c>
      <c r="D52" s="2">
        <f t="shared" si="6"/>
        <v>265258.23848649225</v>
      </c>
      <c r="E52" s="2">
        <f t="shared" si="8"/>
        <v>6.020569052087696</v>
      </c>
    </row>
    <row r="53" spans="2:5">
      <c r="B53" s="2">
        <v>7</v>
      </c>
      <c r="C53" s="2">
        <f t="shared" si="7"/>
        <v>6.0205579079031253</v>
      </c>
      <c r="D53" s="2">
        <f t="shared" si="6"/>
        <v>227364.20441699337</v>
      </c>
      <c r="E53" s="2">
        <f t="shared" si="8"/>
        <v>6.0205579079031253</v>
      </c>
    </row>
    <row r="54" spans="2:5">
      <c r="B54" s="2">
        <v>8</v>
      </c>
      <c r="C54" s="2">
        <f t="shared" si="7"/>
        <v>6.0205450493174553</v>
      </c>
      <c r="D54" s="2">
        <f t="shared" si="6"/>
        <v>198943.67886486917</v>
      </c>
      <c r="E54" s="2">
        <f t="shared" si="8"/>
        <v>6.0205450493174553</v>
      </c>
    </row>
    <row r="55" spans="2:5">
      <c r="B55" s="2">
        <v>9</v>
      </c>
      <c r="C55" s="2">
        <f t="shared" si="7"/>
        <v>6.0205304763687559</v>
      </c>
      <c r="D55" s="2">
        <f t="shared" si="6"/>
        <v>176838.82565766151</v>
      </c>
      <c r="E55" s="2">
        <f t="shared" si="8"/>
        <v>6.0205304763687559</v>
      </c>
    </row>
    <row r="56" spans="2:5">
      <c r="B56" s="2">
        <v>10</v>
      </c>
      <c r="C56" s="2">
        <f t="shared" si="7"/>
        <v>6.0205141891001759</v>
      </c>
      <c r="D56" s="2">
        <f t="shared" si="6"/>
        <v>159154.94309189534</v>
      </c>
      <c r="E56" s="2">
        <f t="shared" si="8"/>
        <v>6.0205141891001759</v>
      </c>
    </row>
    <row r="57" spans="2:5">
      <c r="B57" s="2">
        <v>20</v>
      </c>
      <c r="C57" s="2">
        <f t="shared" si="7"/>
        <v>6.0202570419406936</v>
      </c>
      <c r="D57" s="2">
        <f t="shared" si="6"/>
        <v>79577.471545947672</v>
      </c>
      <c r="E57" s="2">
        <f t="shared" si="8"/>
        <v>6.0202570419406944</v>
      </c>
    </row>
    <row r="58" spans="2:5">
      <c r="B58" s="2">
        <v>30</v>
      </c>
      <c r="C58" s="2">
        <f t="shared" si="7"/>
        <v>6.0198285479157354</v>
      </c>
      <c r="D58" s="2">
        <f t="shared" si="6"/>
        <v>53051.647697298446</v>
      </c>
      <c r="E58" s="2">
        <f t="shared" si="8"/>
        <v>6.0198285479157354</v>
      </c>
    </row>
    <row r="59" spans="2:5">
      <c r="B59" s="2">
        <v>40</v>
      </c>
      <c r="C59" s="2">
        <f t="shared" si="7"/>
        <v>6.0192288338094873</v>
      </c>
      <c r="D59" s="2">
        <f t="shared" si="6"/>
        <v>39788.735772973836</v>
      </c>
      <c r="E59" s="2">
        <f t="shared" si="8"/>
        <v>6.0192288338094873</v>
      </c>
    </row>
    <row r="60" spans="2:5">
      <c r="B60" s="2">
        <v>50</v>
      </c>
      <c r="C60" s="2">
        <f t="shared" si="7"/>
        <v>6.0184580769657705</v>
      </c>
      <c r="D60" s="2">
        <f t="shared" si="6"/>
        <v>31830.988618379066</v>
      </c>
      <c r="E60" s="2">
        <f t="shared" si="8"/>
        <v>6.0184580769657705</v>
      </c>
    </row>
    <row r="61" spans="2:5">
      <c r="B61" s="2">
        <v>60</v>
      </c>
      <c r="C61" s="2">
        <f t="shared" si="7"/>
        <v>6.0175165051343367</v>
      </c>
      <c r="D61" s="2">
        <f t="shared" si="6"/>
        <v>26525.823848649223</v>
      </c>
      <c r="E61" s="2">
        <f t="shared" si="8"/>
        <v>6.0175165051343367</v>
      </c>
    </row>
    <row r="62" spans="2:5">
      <c r="B62" s="2">
        <v>70</v>
      </c>
      <c r="C62" s="2">
        <f t="shared" si="7"/>
        <v>6.0164043962736988</v>
      </c>
      <c r="D62" s="2">
        <f t="shared" si="6"/>
        <v>22736.420441699334</v>
      </c>
      <c r="E62" s="2">
        <f t="shared" si="8"/>
        <v>6.0164043962736997</v>
      </c>
    </row>
    <row r="63" spans="2:5">
      <c r="B63" s="2">
        <v>80</v>
      </c>
      <c r="C63" s="2">
        <f t="shared" si="7"/>
        <v>6.0151220783108545</v>
      </c>
      <c r="D63" s="2">
        <f t="shared" si="6"/>
        <v>19894.367886486918</v>
      </c>
      <c r="E63" s="2">
        <f t="shared" si="8"/>
        <v>6.0151220783108545</v>
      </c>
    </row>
    <row r="64" spans="2:5">
      <c r="B64" s="2">
        <v>90</v>
      </c>
      <c r="C64" s="2">
        <f t="shared" si="7"/>
        <v>6.0136699288583104</v>
      </c>
      <c r="D64" s="2">
        <f t="shared" si="6"/>
        <v>17683.882565766147</v>
      </c>
      <c r="E64" s="2">
        <f t="shared" si="8"/>
        <v>6.0136699288583104</v>
      </c>
    </row>
    <row r="65" spans="2:5">
      <c r="B65" s="2">
        <v>100</v>
      </c>
      <c r="C65" s="2">
        <f t="shared" si="7"/>
        <v>6.0120483748889058</v>
      </c>
      <c r="D65" s="2">
        <f t="shared" si="6"/>
        <v>15915.494309189533</v>
      </c>
      <c r="E65" s="2">
        <f t="shared" si="8"/>
        <v>6.0120483748889058</v>
      </c>
    </row>
    <row r="66" spans="2:5">
      <c r="B66" s="2">
        <v>200</v>
      </c>
      <c r="C66" s="2">
        <f t="shared" si="7"/>
        <v>5.9866439585278766</v>
      </c>
      <c r="D66" s="2">
        <f t="shared" si="6"/>
        <v>7957.7471545947665</v>
      </c>
      <c r="E66" s="2">
        <f t="shared" si="8"/>
        <v>5.9866439585278775</v>
      </c>
    </row>
    <row r="67" spans="2:5">
      <c r="B67" s="2">
        <v>300</v>
      </c>
      <c r="C67" s="2">
        <f t="shared" si="7"/>
        <v>5.9451161488214179</v>
      </c>
      <c r="D67" s="2">
        <f t="shared" si="6"/>
        <v>5305.1647697298449</v>
      </c>
      <c r="E67" s="2">
        <f t="shared" si="8"/>
        <v>5.9451161488214179</v>
      </c>
    </row>
    <row r="68" spans="2:5">
      <c r="B68" s="2">
        <v>400</v>
      </c>
      <c r="C68" s="2">
        <f t="shared" si="7"/>
        <v>5.8886138892416851</v>
      </c>
      <c r="D68" s="2">
        <f t="shared" si="6"/>
        <v>3978.8735772973832</v>
      </c>
      <c r="E68" s="2">
        <f t="shared" si="8"/>
        <v>5.8886138892416824</v>
      </c>
    </row>
    <row r="69" spans="2:5">
      <c r="B69" s="2">
        <v>500</v>
      </c>
      <c r="C69" s="2">
        <f t="shared" si="7"/>
        <v>5.8186166137450552</v>
      </c>
      <c r="D69" s="2">
        <f t="shared" si="6"/>
        <v>3183.098861837907</v>
      </c>
      <c r="E69" s="2">
        <f t="shared" si="8"/>
        <v>5.8186166137450552</v>
      </c>
    </row>
    <row r="70" spans="2:5">
      <c r="B70" s="2">
        <v>600</v>
      </c>
      <c r="C70" s="2">
        <f t="shared" si="7"/>
        <v>5.7368292974768682</v>
      </c>
      <c r="D70" s="2">
        <f t="shared" si="6"/>
        <v>2652.5823848649225</v>
      </c>
      <c r="E70" s="2">
        <f t="shared" si="8"/>
        <v>5.7368292974768682</v>
      </c>
    </row>
    <row r="71" spans="2:5">
      <c r="B71" s="2">
        <v>700</v>
      </c>
      <c r="C71" s="2">
        <f t="shared" si="7"/>
        <v>5.6450751958862018</v>
      </c>
      <c r="D71" s="2">
        <f t="shared" si="6"/>
        <v>2273.6420441699333</v>
      </c>
      <c r="E71" s="2">
        <f t="shared" si="8"/>
        <v>5.6450751958862018</v>
      </c>
    </row>
    <row r="72" spans="2:5">
      <c r="B72" s="2">
        <v>800</v>
      </c>
      <c r="C72" s="2">
        <f t="shared" si="7"/>
        <v>5.5451977870625671</v>
      </c>
      <c r="D72" s="2">
        <f t="shared" si="6"/>
        <v>1989.4367886486916</v>
      </c>
      <c r="E72" s="2">
        <f t="shared" si="8"/>
        <v>5.5451977870625671</v>
      </c>
    </row>
    <row r="73" spans="2:5">
      <c r="B73" s="2">
        <v>900</v>
      </c>
      <c r="C73" s="2">
        <f t="shared" si="7"/>
        <v>5.4389796946676974</v>
      </c>
      <c r="D73" s="2">
        <f t="shared" si="6"/>
        <v>1768.388256576615</v>
      </c>
      <c r="E73" s="2">
        <f t="shared" si="8"/>
        <v>5.4389796946676974</v>
      </c>
    </row>
    <row r="74" spans="2:5">
      <c r="B74" s="2">
        <v>1000</v>
      </c>
      <c r="C74" s="2">
        <f t="shared" si="7"/>
        <v>5.3280822718334377</v>
      </c>
      <c r="D74" s="2">
        <f t="shared" si="6"/>
        <v>1591.5494309189535</v>
      </c>
      <c r="E74" s="2">
        <f t="shared" si="8"/>
        <v>5.328082271833436</v>
      </c>
    </row>
    <row r="75" spans="2:5">
      <c r="B75" s="2">
        <v>2000</v>
      </c>
      <c r="C75" s="2">
        <f t="shared" si="7"/>
        <v>4.2046415681447904</v>
      </c>
      <c r="D75" s="2">
        <f t="shared" si="6"/>
        <v>795.77471545947674</v>
      </c>
      <c r="E75" s="2">
        <f t="shared" si="8"/>
        <v>4.2046415681447904</v>
      </c>
    </row>
    <row r="76" spans="2:5">
      <c r="B76" s="2">
        <v>3000</v>
      </c>
      <c r="C76" s="2">
        <f t="shared" si="7"/>
        <v>3.3383649614663118</v>
      </c>
      <c r="D76" s="2">
        <f t="shared" si="6"/>
        <v>530.51647697298449</v>
      </c>
      <c r="E76" s="2">
        <f t="shared" si="8"/>
        <v>3.3383649614663118</v>
      </c>
    </row>
    <row r="77" spans="2:5">
      <c r="B77" s="2">
        <v>4000</v>
      </c>
      <c r="C77" s="2">
        <f t="shared" si="7"/>
        <v>2.7324954656695084</v>
      </c>
      <c r="D77" s="2">
        <f t="shared" si="6"/>
        <v>397.88735772973837</v>
      </c>
      <c r="E77" s="2">
        <f t="shared" si="8"/>
        <v>2.7324954656695084</v>
      </c>
    </row>
    <row r="78" spans="2:5">
      <c r="B78" s="2">
        <v>5000</v>
      </c>
      <c r="C78" s="2">
        <f t="shared" si="7"/>
        <v>2.3009843474874221</v>
      </c>
      <c r="D78" s="2">
        <f t="shared" si="6"/>
        <v>318.30988618379064</v>
      </c>
      <c r="E78" s="2">
        <f t="shared" si="8"/>
        <v>2.3009843474874221</v>
      </c>
    </row>
    <row r="79" spans="2:5">
      <c r="B79" s="2">
        <v>6000</v>
      </c>
      <c r="C79" s="2">
        <f t="shared" si="7"/>
        <v>1.9824995074003007</v>
      </c>
      <c r="D79" s="2">
        <f t="shared" ref="D79:D101" si="9">1/(2*PI()*B79*$C$4*0.000001)</f>
        <v>265.25823848649225</v>
      </c>
      <c r="E79" s="2">
        <f t="shared" si="8"/>
        <v>1.9824995074003007</v>
      </c>
    </row>
    <row r="80" spans="2:5">
      <c r="B80" s="2">
        <v>7000</v>
      </c>
      <c r="C80" s="2">
        <f t="shared" si="7"/>
        <v>1.7393335822590665</v>
      </c>
      <c r="D80" s="2">
        <f t="shared" si="9"/>
        <v>227.36420441699337</v>
      </c>
      <c r="E80" s="2">
        <f t="shared" si="8"/>
        <v>1.739333582259065</v>
      </c>
    </row>
    <row r="81" spans="2:23">
      <c r="B81" s="2">
        <v>8000</v>
      </c>
      <c r="C81" s="2">
        <f t="shared" si="7"/>
        <v>1.548229287764245</v>
      </c>
      <c r="D81" s="2">
        <f t="shared" si="9"/>
        <v>198.94367886486918</v>
      </c>
      <c r="E81" s="2">
        <f t="shared" si="8"/>
        <v>1.548229287764245</v>
      </c>
    </row>
    <row r="82" spans="2:23">
      <c r="B82" s="2">
        <v>9000</v>
      </c>
      <c r="C82" s="2">
        <f t="shared" si="7"/>
        <v>1.3943753520098354</v>
      </c>
      <c r="D82" s="2">
        <f t="shared" si="9"/>
        <v>176.83882565766146</v>
      </c>
      <c r="E82" s="2">
        <f t="shared" si="8"/>
        <v>1.3943753520098354</v>
      </c>
    </row>
    <row r="83" spans="2:23">
      <c r="B83" s="2">
        <v>10000</v>
      </c>
      <c r="C83" s="2">
        <f t="shared" si="7"/>
        <v>1.2679938002741242</v>
      </c>
      <c r="D83" s="2">
        <f t="shared" si="9"/>
        <v>159.15494309189532</v>
      </c>
      <c r="E83" s="2">
        <f t="shared" si="8"/>
        <v>1.2679938002741242</v>
      </c>
    </row>
    <row r="84" spans="2:23">
      <c r="B84" s="2">
        <v>20000</v>
      </c>
      <c r="C84" s="2">
        <f t="shared" si="7"/>
        <v>0.66305838691791685</v>
      </c>
      <c r="D84" s="2">
        <f t="shared" si="9"/>
        <v>79.57747154594766</v>
      </c>
      <c r="E84" s="2">
        <f t="shared" si="8"/>
        <v>0.66305838691791685</v>
      </c>
    </row>
    <row r="85" spans="2:23">
      <c r="B85" s="2">
        <v>30000</v>
      </c>
      <c r="C85" s="2">
        <f t="shared" si="7"/>
        <v>0.44837892703532778</v>
      </c>
      <c r="D85" s="2">
        <f t="shared" si="9"/>
        <v>53.051647697298449</v>
      </c>
      <c r="E85" s="2">
        <f t="shared" si="8"/>
        <v>0.44837892703532778</v>
      </c>
      <c r="W85" s="2" t="s">
        <v>293</v>
      </c>
    </row>
    <row r="86" spans="2:23">
      <c r="B86" s="2">
        <v>40000</v>
      </c>
      <c r="C86" s="2">
        <f t="shared" si="7"/>
        <v>0.3386393753316902</v>
      </c>
      <c r="D86" s="2">
        <f t="shared" si="9"/>
        <v>39.78873577297383</v>
      </c>
      <c r="E86" s="2">
        <f t="shared" si="8"/>
        <v>0.3386393753316902</v>
      </c>
      <c r="W86" s="2" t="s">
        <v>294</v>
      </c>
    </row>
    <row r="87" spans="2:23">
      <c r="B87" s="2">
        <v>50000</v>
      </c>
      <c r="C87" s="2">
        <f t="shared" si="7"/>
        <v>0.27203569123586624</v>
      </c>
      <c r="D87" s="2">
        <f t="shared" si="9"/>
        <v>31.830988618379067</v>
      </c>
      <c r="E87" s="2">
        <f t="shared" si="8"/>
        <v>0.27203569123586624</v>
      </c>
    </row>
    <row r="88" spans="2:23">
      <c r="B88" s="2">
        <v>60000</v>
      </c>
      <c r="C88" s="2">
        <f t="shared" si="7"/>
        <v>0.22731866265425643</v>
      </c>
      <c r="D88" s="2">
        <f t="shared" si="9"/>
        <v>26.525823848649225</v>
      </c>
      <c r="E88" s="2">
        <f t="shared" si="8"/>
        <v>0.22731866265425643</v>
      </c>
    </row>
    <row r="89" spans="2:23">
      <c r="B89" s="2">
        <v>70000</v>
      </c>
      <c r="C89" s="2">
        <f t="shared" si="7"/>
        <v>0.19522454506386136</v>
      </c>
      <c r="D89" s="2">
        <f t="shared" si="9"/>
        <v>22.736420441699334</v>
      </c>
      <c r="E89" s="2">
        <f t="shared" si="8"/>
        <v>0.19522454506386136</v>
      </c>
    </row>
    <row r="90" spans="2:23">
      <c r="B90" s="2">
        <v>80000</v>
      </c>
      <c r="C90" s="2">
        <f t="shared" si="7"/>
        <v>0.17107035111339378</v>
      </c>
      <c r="D90" s="2">
        <f t="shared" si="9"/>
        <v>19.894367886486915</v>
      </c>
      <c r="E90" s="2">
        <f t="shared" si="8"/>
        <v>0.17107035111339378</v>
      </c>
    </row>
    <row r="91" spans="2:23">
      <c r="B91" s="2">
        <v>90000</v>
      </c>
      <c r="C91" s="2">
        <f t="shared" si="7"/>
        <v>0.15223433572723769</v>
      </c>
      <c r="D91" s="2">
        <f t="shared" si="9"/>
        <v>17.683882565766147</v>
      </c>
      <c r="E91" s="2">
        <f t="shared" si="8"/>
        <v>0.15223433572723769</v>
      </c>
    </row>
    <row r="92" spans="2:23">
      <c r="B92" s="2">
        <v>100000</v>
      </c>
      <c r="C92" s="2">
        <f t="shared" si="7"/>
        <v>0.13713445018968323</v>
      </c>
      <c r="D92" s="2">
        <f t="shared" si="9"/>
        <v>15.915494309189533</v>
      </c>
      <c r="E92" s="2">
        <f t="shared" si="8"/>
        <v>0.13713445018968323</v>
      </c>
    </row>
    <row r="93" spans="2:23">
      <c r="B93" s="2">
        <v>200000</v>
      </c>
      <c r="C93" s="2">
        <f t="shared" si="7"/>
        <v>6.8844372573590801E-2</v>
      </c>
      <c r="D93" s="2">
        <f t="shared" si="9"/>
        <v>7.9577471545947667</v>
      </c>
      <c r="E93" s="2">
        <f t="shared" si="8"/>
        <v>6.8844372573590801E-2</v>
      </c>
    </row>
    <row r="94" spans="2:23">
      <c r="B94" s="2">
        <v>300000</v>
      </c>
      <c r="C94" s="2">
        <f t="shared" si="7"/>
        <v>4.5957630075101619E-2</v>
      </c>
      <c r="D94" s="2">
        <f t="shared" si="9"/>
        <v>5.3051647697298447</v>
      </c>
      <c r="E94" s="2">
        <f t="shared" si="8"/>
        <v>4.5957630075101619E-2</v>
      </c>
    </row>
    <row r="95" spans="2:23">
      <c r="B95" s="2">
        <v>400000</v>
      </c>
      <c r="C95" s="2">
        <f t="shared" si="7"/>
        <v>3.449121108352312E-2</v>
      </c>
      <c r="D95" s="2">
        <f t="shared" si="9"/>
        <v>3.9788735772973833</v>
      </c>
      <c r="E95" s="2">
        <f t="shared" si="8"/>
        <v>3.449121108352312E-2</v>
      </c>
    </row>
    <row r="96" spans="2:23">
      <c r="B96" s="2">
        <v>500000</v>
      </c>
      <c r="C96" s="2">
        <f t="shared" si="7"/>
        <v>2.7603995724274372E-2</v>
      </c>
      <c r="D96" s="2">
        <f t="shared" si="9"/>
        <v>3.1830988618379075</v>
      </c>
      <c r="E96" s="2">
        <f t="shared" si="8"/>
        <v>2.7603995724274372E-2</v>
      </c>
    </row>
    <row r="97" spans="2:5">
      <c r="B97" s="2">
        <v>600000</v>
      </c>
      <c r="C97" s="2">
        <f t="shared" si="7"/>
        <v>2.3009453140101527E-2</v>
      </c>
      <c r="D97" s="2">
        <f t="shared" si="9"/>
        <v>2.6525823848649224</v>
      </c>
      <c r="E97" s="2">
        <f t="shared" si="8"/>
        <v>2.3009453140101527E-2</v>
      </c>
    </row>
    <row r="98" spans="2:5">
      <c r="B98" s="2">
        <v>700000</v>
      </c>
      <c r="C98" s="2">
        <f t="shared" si="7"/>
        <v>1.9726136287256384E-2</v>
      </c>
      <c r="D98" s="2">
        <f t="shared" si="9"/>
        <v>2.2736420441699337</v>
      </c>
      <c r="E98" s="2">
        <f t="shared" si="8"/>
        <v>1.9726136287256384E-2</v>
      </c>
    </row>
    <row r="99" spans="2:5">
      <c r="B99" s="2">
        <v>800000</v>
      </c>
      <c r="C99" s="2">
        <f t="shared" si="7"/>
        <v>1.7262828261399715E-2</v>
      </c>
      <c r="D99" s="2">
        <f t="shared" si="9"/>
        <v>1.9894367886486917</v>
      </c>
      <c r="E99" s="2">
        <f t="shared" si="8"/>
        <v>1.7262828261399715E-2</v>
      </c>
    </row>
    <row r="100" spans="2:5">
      <c r="B100" s="2">
        <v>900000</v>
      </c>
      <c r="C100" s="2">
        <f t="shared" si="7"/>
        <v>1.5346436005361386E-2</v>
      </c>
      <c r="D100" s="2">
        <f t="shared" si="9"/>
        <v>1.7683882565766149</v>
      </c>
      <c r="E100" s="2">
        <f t="shared" si="8"/>
        <v>1.5346436005361386E-2</v>
      </c>
    </row>
    <row r="101" spans="2:5">
      <c r="B101" s="2">
        <v>1000000</v>
      </c>
      <c r="C101" s="2">
        <f t="shared" si="7"/>
        <v>1.3813016080578493E-2</v>
      </c>
      <c r="D101" s="2">
        <f t="shared" si="9"/>
        <v>1.5915494309189537</v>
      </c>
      <c r="E101" s="2">
        <f t="shared" si="8"/>
        <v>1.3813016080578493E-2</v>
      </c>
    </row>
  </sheetData>
  <hyperlinks>
    <hyperlink ref="AA28" r:id="rId1" xr:uid="{757B3D67-38EC-43E6-B642-3A3B3CEAD67F}"/>
  </hyperlinks>
  <pageMargins left="0.7" right="0.7" top="0.75" bottom="0.75" header="0.3" footer="0.3"/>
  <pageSetup orientation="portrait" r:id="rId2"/>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789168-64B6-49AA-A3F4-031AF8B933E8}">
  <dimension ref="B1:Z102"/>
  <sheetViews>
    <sheetView zoomScale="85" zoomScaleNormal="85" workbookViewId="0">
      <selection activeCell="E2" sqref="E2:G5"/>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6" ht="47.25" thickBot="1">
      <c r="B1" s="1" t="s">
        <v>274</v>
      </c>
      <c r="Y1"/>
    </row>
    <row r="2" spans="2:26" ht="15.75" thickBot="1">
      <c r="B2" s="2" t="s">
        <v>170</v>
      </c>
      <c r="C2" s="4">
        <v>1</v>
      </c>
      <c r="D2" s="2" t="s">
        <v>16</v>
      </c>
      <c r="E2" s="33" t="s">
        <v>287</v>
      </c>
      <c r="F2" s="9">
        <f>2*PI()*C10</f>
        <v>9999.9972924563626</v>
      </c>
      <c r="H2" s="6" t="s">
        <v>36</v>
      </c>
    </row>
    <row r="3" spans="2:26" ht="15.75" thickBot="1">
      <c r="B3" s="2" t="s">
        <v>12</v>
      </c>
      <c r="C3" s="4">
        <v>1</v>
      </c>
      <c r="D3" s="2" t="s">
        <v>16</v>
      </c>
      <c r="E3" s="2" t="s">
        <v>291</v>
      </c>
      <c r="F3" s="9">
        <f>(F2*C3*1000*C4*0.000001)/SQRT(1+(F2*C3*1000*C4*0.000001)^2)</f>
        <v>0.70710668546040478</v>
      </c>
      <c r="H3" s="2" t="s">
        <v>9</v>
      </c>
      <c r="I3" s="4">
        <v>5</v>
      </c>
      <c r="J3" s="2" t="s">
        <v>18</v>
      </c>
      <c r="Z3"/>
    </row>
    <row r="4" spans="2:26" ht="15.75" thickBot="1">
      <c r="B4" s="2" t="s">
        <v>82</v>
      </c>
      <c r="C4" s="4">
        <v>0.1</v>
      </c>
      <c r="D4" s="2" t="s">
        <v>83</v>
      </c>
      <c r="E4" s="33" t="s">
        <v>288</v>
      </c>
      <c r="F4" s="9">
        <f>ATAN(1/(F2*C3*1000*C4*0.000001))</f>
        <v>0.78539829877464851</v>
      </c>
      <c r="G4" s="2" t="s">
        <v>290</v>
      </c>
      <c r="H4" s="2" t="s">
        <v>10</v>
      </c>
      <c r="I4" s="5">
        <v>-5</v>
      </c>
      <c r="J4" s="2" t="s">
        <v>19</v>
      </c>
    </row>
    <row r="5" spans="2:26" ht="15.75" thickBot="1">
      <c r="B5" s="2" t="s">
        <v>99</v>
      </c>
      <c r="C5" s="4">
        <v>1</v>
      </c>
      <c r="D5" s="2" t="s">
        <v>16</v>
      </c>
      <c r="E5" s="17" t="s">
        <v>286</v>
      </c>
      <c r="F5" s="9">
        <f>ABS(F4)/F2</f>
        <v>7.8539851142472273E-5</v>
      </c>
      <c r="G5" s="2" t="s">
        <v>289</v>
      </c>
      <c r="H5" s="2" t="s">
        <v>31</v>
      </c>
      <c r="I5" s="4">
        <v>1.2</v>
      </c>
      <c r="J5" s="2" t="s">
        <v>32</v>
      </c>
    </row>
    <row r="6" spans="2:26">
      <c r="B6" s="2" t="s">
        <v>0</v>
      </c>
      <c r="C6" s="3">
        <v>0</v>
      </c>
      <c r="D6" s="2" t="s">
        <v>17</v>
      </c>
    </row>
    <row r="7" spans="2:26" ht="15.75" thickBot="1">
      <c r="B7" s="2" t="s">
        <v>1</v>
      </c>
      <c r="C7" s="3">
        <f>1+(C5/C2)</f>
        <v>2</v>
      </c>
      <c r="D7" s="2" t="s">
        <v>39</v>
      </c>
      <c r="H7" s="6" t="s">
        <v>33</v>
      </c>
    </row>
    <row r="8" spans="2:26" ht="15.75" thickBot="1">
      <c r="B8" s="2" t="s">
        <v>97</v>
      </c>
      <c r="C8" s="3">
        <f>1/(2*PI()*C10*C4*0.000001)</f>
        <v>1000.0002707544371</v>
      </c>
      <c r="D8" s="2" t="s">
        <v>214</v>
      </c>
      <c r="H8" s="6" t="s">
        <v>29</v>
      </c>
      <c r="I8" s="4">
        <v>1</v>
      </c>
      <c r="J8" s="2" t="s">
        <v>17</v>
      </c>
    </row>
    <row r="9" spans="2:26" ht="15.75" thickBot="1">
      <c r="B9" s="2" t="s">
        <v>25</v>
      </c>
      <c r="C9" s="4">
        <v>1</v>
      </c>
      <c r="D9" s="2" t="s">
        <v>38</v>
      </c>
      <c r="H9" s="6" t="s">
        <v>34</v>
      </c>
      <c r="I9" s="3">
        <f>IF($C$7*I8/SQRT(1+($C$10/$C$12)^2)&gt;($I$3-$I$5),($I$3-$I$5),IF($C$7*I8/SQRT(1+($C$10/$C$12)^2)&lt;($I$4+$I$5),($I$4+$I$5),$C$7*I8/SQRT(1+($C$10/$C$12)^2)))</f>
        <v>1.4142137538253547</v>
      </c>
      <c r="J9" s="2" t="s">
        <v>17</v>
      </c>
    </row>
    <row r="10" spans="2:26" ht="15.75" thickBot="1">
      <c r="B10" s="2" t="s">
        <v>84</v>
      </c>
      <c r="C10" s="4">
        <v>1591.549</v>
      </c>
      <c r="D10" s="2" t="s">
        <v>80</v>
      </c>
    </row>
    <row r="11" spans="2:26">
      <c r="B11" s="2" t="s">
        <v>87</v>
      </c>
      <c r="C11" s="3">
        <f>1/C10</f>
        <v>6.2831870083798866E-4</v>
      </c>
      <c r="D11" s="2" t="s">
        <v>86</v>
      </c>
      <c r="H11" s="6" t="s">
        <v>196</v>
      </c>
    </row>
    <row r="12" spans="2:26" ht="15.75" thickBot="1">
      <c r="B12" s="2" t="s">
        <v>81</v>
      </c>
      <c r="C12" s="3">
        <f>1/(2*PI()*(C3*1000)*(C4*0.000001))</f>
        <v>1591.5494309189537</v>
      </c>
      <c r="D12" s="2" t="s">
        <v>80</v>
      </c>
      <c r="H12" s="17" t="s">
        <v>104</v>
      </c>
      <c r="I12" s="3">
        <f>1000*(C4*1000)*(C5*0.000001)</f>
        <v>9.9999999999999992E-2</v>
      </c>
      <c r="J12" s="2" t="s">
        <v>105</v>
      </c>
      <c r="U12" s="27"/>
      <c r="Y12"/>
    </row>
    <row r="13" spans="2:26" ht="15.75" thickBot="1">
      <c r="B13" s="2" t="s">
        <v>89</v>
      </c>
      <c r="C13" s="4">
        <v>4</v>
      </c>
      <c r="D13" s="2" t="s">
        <v>90</v>
      </c>
      <c r="H13" s="17" t="s">
        <v>195</v>
      </c>
      <c r="I13" s="3">
        <f>1/(I12*0.001)</f>
        <v>10000</v>
      </c>
      <c r="J13" s="2" t="s">
        <v>80</v>
      </c>
    </row>
    <row r="14" spans="2:26">
      <c r="B14" s="2" t="s">
        <v>88</v>
      </c>
      <c r="C14" s="3">
        <f>C11*C13/25</f>
        <v>1.0053099213407818E-4</v>
      </c>
      <c r="D14" s="2" t="s">
        <v>86</v>
      </c>
    </row>
    <row r="16" spans="2:26">
      <c r="E16" s="6" t="s">
        <v>30</v>
      </c>
    </row>
    <row r="17" spans="2:6">
      <c r="B17" s="7" t="s">
        <v>85</v>
      </c>
      <c r="C17" s="7" t="s">
        <v>7</v>
      </c>
      <c r="D17" s="7" t="s">
        <v>3</v>
      </c>
      <c r="E17" s="7" t="s">
        <v>3</v>
      </c>
      <c r="F17" s="28" t="s">
        <v>216</v>
      </c>
    </row>
    <row r="18" spans="2:6">
      <c r="B18" s="2">
        <v>0</v>
      </c>
      <c r="C18" s="2">
        <f t="shared" ref="C18:C43" si="0">$C$9*SIN($B18*$C$10*2*PI())</f>
        <v>0</v>
      </c>
      <c r="D18" s="2">
        <f>$C$7*$F$3*$C$9*SIN($F$2*B18+$F$4)</f>
        <v>0.99999999999996347</v>
      </c>
      <c r="E18" s="2">
        <f t="shared" ref="E18:E43" si="1">IF(D18&gt;($I$3-$I$5),($I$3-$I$5),IF(D18&lt;($I$4+$I$5),($I$4+$I$5),D18))</f>
        <v>0.99999999999996347</v>
      </c>
      <c r="F18" s="28">
        <f t="shared" ref="F18:F43" si="2">C18*($C$3*1000/SQRT((($C$3*1000)^2+$C$8^2)))*(1+($C$5*1000)/($C$2*1000))</f>
        <v>0</v>
      </c>
    </row>
    <row r="19" spans="2:6">
      <c r="B19" s="2">
        <f t="shared" ref="B19:B43" si="3">B18+$C$14</f>
        <v>1.0053099213407818E-4</v>
      </c>
      <c r="C19" s="2">
        <f t="shared" si="0"/>
        <v>0.84432792550201508</v>
      </c>
      <c r="D19" s="2">
        <f t="shared" ref="D19:D43" si="4">$C$7*$F$3*$C$9*SIN($F$2*B19+$F$4)</f>
        <v>1.3801544918754909</v>
      </c>
      <c r="E19" s="2">
        <f t="shared" si="1"/>
        <v>1.3801544918754909</v>
      </c>
      <c r="F19" s="28">
        <f t="shared" si="2"/>
        <v>1.1940598416867789</v>
      </c>
    </row>
    <row r="20" spans="2:6">
      <c r="B20" s="2">
        <f t="shared" si="3"/>
        <v>2.0106198426815636E-4</v>
      </c>
      <c r="C20" s="2">
        <f t="shared" si="0"/>
        <v>0.90482705246601947</v>
      </c>
      <c r="D20" s="2">
        <f t="shared" si="4"/>
        <v>0.47904751591505706</v>
      </c>
      <c r="E20" s="2">
        <f t="shared" si="1"/>
        <v>0.47904751591505706</v>
      </c>
      <c r="F20" s="28">
        <f t="shared" si="2"/>
        <v>1.2796185159683096</v>
      </c>
    </row>
    <row r="21" spans="2:6">
      <c r="B21" s="2">
        <f t="shared" si="3"/>
        <v>3.0159297640223456E-4</v>
      </c>
      <c r="C21" s="2">
        <f t="shared" si="0"/>
        <v>0.12533323356430454</v>
      </c>
      <c r="D21" s="2">
        <f t="shared" si="4"/>
        <v>-0.86678150168466128</v>
      </c>
      <c r="E21" s="2">
        <f t="shared" si="1"/>
        <v>-0.86678150168466128</v>
      </c>
      <c r="F21" s="28">
        <f t="shared" si="2"/>
        <v>0.17724793472738026</v>
      </c>
    </row>
    <row r="22" spans="2:6">
      <c r="B22" s="2">
        <f t="shared" si="3"/>
        <v>4.0212396853631273E-4</v>
      </c>
      <c r="C22" s="2">
        <f t="shared" si="0"/>
        <v>-0.77051324277578936</v>
      </c>
      <c r="D22" s="2">
        <f t="shared" si="4"/>
        <v>-1.4079370239046047</v>
      </c>
      <c r="E22" s="2">
        <f t="shared" si="1"/>
        <v>-1.4079370239046047</v>
      </c>
      <c r="F22" s="28">
        <f t="shared" si="2"/>
        <v>-1.0896701304050731</v>
      </c>
    </row>
    <row r="23" spans="2:6">
      <c r="B23" s="2">
        <f t="shared" si="3"/>
        <v>5.0265496067039095E-4</v>
      </c>
      <c r="C23" s="2">
        <f t="shared" si="0"/>
        <v>-0.95105651629515364</v>
      </c>
      <c r="D23" s="2">
        <f t="shared" si="4"/>
        <v>-0.64203926441748105</v>
      </c>
      <c r="E23" s="2">
        <f t="shared" si="1"/>
        <v>-0.64203926441748105</v>
      </c>
      <c r="F23" s="28">
        <f t="shared" si="2"/>
        <v>-1.344996841845971</v>
      </c>
    </row>
    <row r="24" spans="2:6">
      <c r="B24" s="2">
        <f t="shared" si="3"/>
        <v>6.0318595280446912E-4</v>
      </c>
      <c r="C24" s="2">
        <f t="shared" si="0"/>
        <v>-0.24868988716485535</v>
      </c>
      <c r="D24" s="2">
        <f t="shared" si="4"/>
        <v>0.71989334129762128</v>
      </c>
      <c r="E24" s="2">
        <f t="shared" si="1"/>
        <v>0.71989334129762128</v>
      </c>
      <c r="F24" s="28">
        <f t="shared" si="2"/>
        <v>-0.35170056364132585</v>
      </c>
    </row>
    <row r="25" spans="2:6">
      <c r="B25" s="2">
        <f t="shared" si="3"/>
        <v>7.0371694493854729E-4</v>
      </c>
      <c r="C25" s="2">
        <f t="shared" si="0"/>
        <v>0.68454710592868795</v>
      </c>
      <c r="D25" s="2">
        <f t="shared" si="4"/>
        <v>1.4135155480059323</v>
      </c>
      <c r="E25" s="2">
        <f t="shared" si="1"/>
        <v>1.4135155480059323</v>
      </c>
      <c r="F25" s="28">
        <f t="shared" si="2"/>
        <v>0.96809567022949428</v>
      </c>
    </row>
    <row r="26" spans="2:6">
      <c r="B26" s="2">
        <f t="shared" si="3"/>
        <v>8.0424793707262545E-4</v>
      </c>
      <c r="C26" s="2">
        <f t="shared" si="0"/>
        <v>0.98228725072868861</v>
      </c>
      <c r="D26" s="2">
        <f t="shared" si="4"/>
        <v>0.79490567018437708</v>
      </c>
      <c r="E26" s="2">
        <f t="shared" si="1"/>
        <v>0.79490567018437708</v>
      </c>
      <c r="F26" s="28">
        <f t="shared" si="2"/>
        <v>1.3891637640655532</v>
      </c>
    </row>
    <row r="27" spans="2:6">
      <c r="B27" s="2">
        <f t="shared" si="3"/>
        <v>9.0477892920670362E-4</v>
      </c>
      <c r="C27" s="2">
        <f t="shared" si="0"/>
        <v>0.36812455268467797</v>
      </c>
      <c r="D27" s="2">
        <f t="shared" si="4"/>
        <v>-0.56165203287487941</v>
      </c>
      <c r="E27" s="2">
        <f t="shared" si="1"/>
        <v>-0.56165203287487941</v>
      </c>
      <c r="F27" s="28">
        <f t="shared" si="2"/>
        <v>0.52060666457091365</v>
      </c>
    </row>
    <row r="28" spans="2:6">
      <c r="B28" s="2">
        <f t="shared" si="3"/>
        <v>1.0053099213407819E-3</v>
      </c>
      <c r="C28" s="2">
        <f t="shared" si="0"/>
        <v>-0.5877852522924728</v>
      </c>
      <c r="D28" s="2">
        <f t="shared" si="4"/>
        <v>-1.3968020875219473</v>
      </c>
      <c r="E28" s="2">
        <f t="shared" si="1"/>
        <v>-1.3968020875219473</v>
      </c>
      <c r="F28" s="28">
        <f t="shared" si="2"/>
        <v>-0.83125376302207643</v>
      </c>
    </row>
    <row r="29" spans="2:6">
      <c r="B29" s="2">
        <f t="shared" si="3"/>
        <v>1.1058409134748601E-3</v>
      </c>
      <c r="C29" s="2">
        <f t="shared" si="0"/>
        <v>-0.99802672842827156</v>
      </c>
      <c r="D29" s="2">
        <f t="shared" si="4"/>
        <v>-0.93523593867883292</v>
      </c>
      <c r="E29" s="2">
        <f t="shared" si="1"/>
        <v>-0.93523593867883292</v>
      </c>
      <c r="F29" s="28">
        <f t="shared" si="2"/>
        <v>-1.4114227438796132</v>
      </c>
    </row>
    <row r="30" spans="2:6">
      <c r="B30" s="2">
        <f t="shared" si="3"/>
        <v>1.2063719056089382E-3</v>
      </c>
      <c r="C30" s="2">
        <f t="shared" si="0"/>
        <v>-0.48175367410171632</v>
      </c>
      <c r="D30" s="2">
        <f t="shared" si="4"/>
        <v>0.3945531363790416</v>
      </c>
      <c r="E30" s="2">
        <f t="shared" si="1"/>
        <v>0.3945531363790416</v>
      </c>
      <c r="F30" s="28">
        <f t="shared" si="2"/>
        <v>-0.68130248740487331</v>
      </c>
    </row>
    <row r="31" spans="2:6">
      <c r="B31" s="2">
        <f t="shared" si="3"/>
        <v>1.3069028977430164E-3</v>
      </c>
      <c r="C31" s="2">
        <f t="shared" si="0"/>
        <v>0.48175367410171543</v>
      </c>
      <c r="D31" s="2">
        <f t="shared" si="4"/>
        <v>1.358060223708619</v>
      </c>
      <c r="E31" s="2">
        <f t="shared" si="1"/>
        <v>1.358060223708619</v>
      </c>
      <c r="F31" s="28">
        <f t="shared" si="2"/>
        <v>0.68130248740487209</v>
      </c>
    </row>
    <row r="32" spans="2:6">
      <c r="B32" s="2">
        <f t="shared" si="3"/>
        <v>1.4074338898770946E-3</v>
      </c>
      <c r="C32" s="2">
        <f t="shared" si="0"/>
        <v>0.99802672842827145</v>
      </c>
      <c r="D32" s="2">
        <f t="shared" si="4"/>
        <v>1.0608169777374563</v>
      </c>
      <c r="E32" s="2">
        <f t="shared" si="1"/>
        <v>1.0608169777374563</v>
      </c>
      <c r="F32" s="28">
        <f t="shared" si="2"/>
        <v>1.4114227438796132</v>
      </c>
    </row>
    <row r="33" spans="2:11">
      <c r="B33" s="2">
        <f t="shared" si="3"/>
        <v>1.5079648820111727E-3</v>
      </c>
      <c r="C33" s="2">
        <f t="shared" si="0"/>
        <v>0.58778525229247358</v>
      </c>
      <c r="D33" s="2">
        <f t="shared" si="4"/>
        <v>-0.22123190122788472</v>
      </c>
      <c r="E33" s="2">
        <f t="shared" si="1"/>
        <v>-0.22123190122788472</v>
      </c>
      <c r="F33" s="28">
        <f t="shared" si="2"/>
        <v>0.83125376302207754</v>
      </c>
    </row>
    <row r="34" spans="2:11">
      <c r="B34" s="2">
        <f t="shared" si="3"/>
        <v>1.6084958741452509E-3</v>
      </c>
      <c r="C34" s="2">
        <f t="shared" si="0"/>
        <v>-0.3681245526846787</v>
      </c>
      <c r="D34" s="2">
        <f t="shared" si="4"/>
        <v>-1.2979009389015512</v>
      </c>
      <c r="E34" s="2">
        <f t="shared" si="1"/>
        <v>-1.2979009389015512</v>
      </c>
      <c r="F34" s="28">
        <f t="shared" si="2"/>
        <v>-0.52060666457091465</v>
      </c>
    </row>
    <row r="35" spans="2:11">
      <c r="B35" s="2">
        <f t="shared" si="3"/>
        <v>1.7090268662793291E-3</v>
      </c>
      <c r="C35" s="2">
        <f t="shared" si="0"/>
        <v>-0.98228725072868839</v>
      </c>
      <c r="D35" s="2">
        <f t="shared" si="4"/>
        <v>-1.1696682993558121</v>
      </c>
      <c r="E35" s="2">
        <f t="shared" si="1"/>
        <v>-1.1696682993558121</v>
      </c>
      <c r="F35" s="28">
        <f t="shared" si="2"/>
        <v>-1.3891637640655528</v>
      </c>
    </row>
    <row r="36" spans="2:11">
      <c r="B36" s="2">
        <f t="shared" si="3"/>
        <v>1.8095578584134072E-3</v>
      </c>
      <c r="C36" s="2">
        <f t="shared" si="0"/>
        <v>-0.68454710592868862</v>
      </c>
      <c r="D36" s="2">
        <f t="shared" si="4"/>
        <v>4.4421706836832164E-2</v>
      </c>
      <c r="E36" s="2">
        <f t="shared" si="1"/>
        <v>4.4421706836832164E-2</v>
      </c>
      <c r="F36" s="28">
        <f t="shared" si="2"/>
        <v>-0.96809567022949528</v>
      </c>
    </row>
    <row r="37" spans="2:11">
      <c r="B37" s="2">
        <f t="shared" si="3"/>
        <v>1.9100888505474854E-3</v>
      </c>
      <c r="C37" s="2">
        <f t="shared" si="0"/>
        <v>0.24868988716485269</v>
      </c>
      <c r="D37" s="2">
        <f t="shared" si="4"/>
        <v>1.2172729809595675</v>
      </c>
      <c r="E37" s="2">
        <f t="shared" si="1"/>
        <v>1.2172729809595675</v>
      </c>
      <c r="F37" s="28">
        <f t="shared" si="2"/>
        <v>0.35170056364132207</v>
      </c>
      <c r="H37" s="6" t="s">
        <v>65</v>
      </c>
    </row>
    <row r="38" spans="2:11">
      <c r="B38" s="2">
        <f t="shared" si="3"/>
        <v>2.0106198426815638E-3</v>
      </c>
      <c r="C38" s="2">
        <f t="shared" si="0"/>
        <v>0.95105651629515331</v>
      </c>
      <c r="D38" s="2">
        <f t="shared" si="4"/>
        <v>1.2600732531673535</v>
      </c>
      <c r="E38" s="2">
        <f t="shared" si="1"/>
        <v>1.2600732531673535</v>
      </c>
      <c r="F38" s="28">
        <f t="shared" si="2"/>
        <v>1.3449968418459706</v>
      </c>
      <c r="H38" s="12" t="s">
        <v>64</v>
      </c>
      <c r="I38" s="12">
        <f>I3</f>
        <v>5</v>
      </c>
      <c r="J38" s="12" t="s">
        <v>17</v>
      </c>
      <c r="K38" s="13" t="str">
        <f>TRIM(H38)&amp;"   "&amp;IF(I38&gt;0,"+","")&amp;TRIM(I38)&amp;" "&amp;TRIM(J38)</f>
        <v>V+:   +5 V</v>
      </c>
    </row>
    <row r="39" spans="2:11">
      <c r="B39" s="2">
        <f t="shared" si="3"/>
        <v>2.111150834815642E-3</v>
      </c>
      <c r="C39" s="2">
        <f t="shared" si="0"/>
        <v>0.77051324277578881</v>
      </c>
      <c r="D39" s="2">
        <f t="shared" si="4"/>
        <v>0.13308904440727617</v>
      </c>
      <c r="E39" s="2">
        <f t="shared" si="1"/>
        <v>0.13308904440727617</v>
      </c>
      <c r="F39" s="28">
        <f t="shared" si="2"/>
        <v>1.0896701304050724</v>
      </c>
      <c r="H39" s="12" t="s">
        <v>66</v>
      </c>
      <c r="I39" s="12">
        <f>I4</f>
        <v>-5</v>
      </c>
      <c r="J39" s="12" t="s">
        <v>17</v>
      </c>
      <c r="K39" s="13" t="str">
        <f t="shared" ref="K39:K40" si="5">TRIM(H39)&amp;"   "&amp;IF(I39&gt;0,"+","")&amp;TRIM(I39)&amp;" "&amp;TRIM(J39)</f>
        <v>V-:   -5 V</v>
      </c>
    </row>
    <row r="40" spans="2:11">
      <c r="B40" s="2">
        <f t="shared" si="3"/>
        <v>2.2116818269497201E-3</v>
      </c>
      <c r="C40" s="2">
        <f t="shared" si="0"/>
        <v>-0.12533323356430268</v>
      </c>
      <c r="D40" s="2">
        <f t="shared" si="4"/>
        <v>-1.1174479009442198</v>
      </c>
      <c r="E40" s="2">
        <f t="shared" si="1"/>
        <v>-1.1174479009442198</v>
      </c>
      <c r="F40" s="28">
        <f t="shared" si="2"/>
        <v>-0.17724793472737763</v>
      </c>
      <c r="H40" s="12" t="s">
        <v>29</v>
      </c>
      <c r="I40" s="12">
        <f>I8</f>
        <v>1</v>
      </c>
      <c r="J40" s="12" t="s">
        <v>17</v>
      </c>
      <c r="K40" s="13" t="str">
        <f t="shared" si="5"/>
        <v>Vin:   +1 V</v>
      </c>
    </row>
    <row r="41" spans="2:11">
      <c r="B41" s="2">
        <f t="shared" si="3"/>
        <v>2.3122128190837983E-3</v>
      </c>
      <c r="C41" s="2">
        <f t="shared" si="0"/>
        <v>-0.90482705246601947</v>
      </c>
      <c r="D41" s="2">
        <f t="shared" si="4"/>
        <v>-1.3306060990451707</v>
      </c>
      <c r="E41" s="2">
        <f t="shared" si="1"/>
        <v>-1.3306060990451707</v>
      </c>
      <c r="F41" s="28">
        <f t="shared" si="2"/>
        <v>-1.2796185159683096</v>
      </c>
      <c r="H41" s="12" t="s">
        <v>67</v>
      </c>
      <c r="I41" s="12">
        <f>C2</f>
        <v>1</v>
      </c>
      <c r="J41" s="12" t="s">
        <v>16</v>
      </c>
      <c r="K41" s="13" t="str">
        <f>TRIM(H41)&amp;"   "&amp;TRIM(I41)&amp;" "&amp;TRIM(J41)</f>
        <v>R1:   1 K</v>
      </c>
    </row>
    <row r="42" spans="2:11">
      <c r="B42" s="2">
        <f t="shared" si="3"/>
        <v>2.4127438112178765E-3</v>
      </c>
      <c r="C42" s="2">
        <f t="shared" si="0"/>
        <v>-0.8443279255020163</v>
      </c>
      <c r="D42" s="2">
        <f t="shared" si="4"/>
        <v>-0.30850090191754032</v>
      </c>
      <c r="E42" s="2">
        <f t="shared" si="1"/>
        <v>-0.30850090191754032</v>
      </c>
      <c r="F42" s="28">
        <f t="shared" si="2"/>
        <v>-1.1940598416867807</v>
      </c>
      <c r="H42" s="12" t="s">
        <v>100</v>
      </c>
      <c r="I42" s="12">
        <f>C4</f>
        <v>0.1</v>
      </c>
      <c r="J42" s="12" t="s">
        <v>83</v>
      </c>
      <c r="K42" s="13" t="str">
        <f>TRIM(H42)&amp;"   "&amp;TRIM(I42)&amp;" "&amp;TRIM(J42)</f>
        <v>C1:   0.1 uF</v>
      </c>
    </row>
    <row r="43" spans="2:11">
      <c r="B43" s="2">
        <f t="shared" si="3"/>
        <v>2.5132748033519546E-3</v>
      </c>
      <c r="C43" s="2">
        <f t="shared" si="0"/>
        <v>-9.8011876392689601E-16</v>
      </c>
      <c r="D43" s="2">
        <f t="shared" si="4"/>
        <v>0.99999999999996236</v>
      </c>
      <c r="E43" s="2">
        <f t="shared" si="1"/>
        <v>0.99999999999996236</v>
      </c>
      <c r="F43" s="28">
        <f t="shared" si="2"/>
        <v>-1.3860970610357928E-15</v>
      </c>
      <c r="H43" s="12" t="s">
        <v>101</v>
      </c>
      <c r="I43" s="12">
        <f>ROUND(C10,0)</f>
        <v>1592</v>
      </c>
      <c r="J43" s="12" t="s">
        <v>80</v>
      </c>
      <c r="K43" s="13" t="str">
        <f>TRIM(H43)&amp;"   "&amp;TRIM(I43)&amp;" "&amp;TRIM(J43)</f>
        <v>f,signal:   1592 Hz</v>
      </c>
    </row>
    <row r="45" spans="2:11">
      <c r="B45" s="6" t="s">
        <v>92</v>
      </c>
    </row>
    <row r="46" spans="2:11" ht="15.75">
      <c r="B46" s="14"/>
      <c r="C46" s="2" t="s">
        <v>95</v>
      </c>
    </row>
    <row r="47" spans="2:11">
      <c r="B47" s="7" t="s">
        <v>93</v>
      </c>
      <c r="C47" s="7" t="s">
        <v>94</v>
      </c>
      <c r="D47" s="7" t="s">
        <v>97</v>
      </c>
      <c r="E47" s="7" t="s">
        <v>217</v>
      </c>
    </row>
    <row r="48" spans="2:11">
      <c r="B48" s="2">
        <v>1</v>
      </c>
      <c r="C48" s="2">
        <f t="shared" ref="C48:C79" si="6">20*LOG($C$7*(B48/$C$12)/SQRT(1+(B48/$C$12)^2))</f>
        <v>-58.015804434083627</v>
      </c>
      <c r="D48" s="2">
        <f t="shared" ref="D48:D79" si="7">1/(2*PI()*B48*$C$4*0.000001)</f>
        <v>1591549.4309189534</v>
      </c>
      <c r="E48" s="2">
        <f t="shared" ref="E48:E79" si="8">20*LOG(($C$3*1000/SQRT((($C$3*1000)^2+D48^2)))*(1+($C$5*1000)/($C$2*1000)))</f>
        <v>-58.015804434083627</v>
      </c>
    </row>
    <row r="49" spans="2:21">
      <c r="B49" s="2">
        <v>2</v>
      </c>
      <c r="C49" s="2">
        <f t="shared" si="6"/>
        <v>-51.995209664376603</v>
      </c>
      <c r="D49" s="2">
        <f t="shared" si="7"/>
        <v>795774.71545947669</v>
      </c>
      <c r="E49" s="2">
        <f t="shared" si="8"/>
        <v>-51.995209664376603</v>
      </c>
    </row>
    <row r="50" spans="2:21">
      <c r="B50" s="2">
        <v>3</v>
      </c>
      <c r="C50" s="2">
        <f t="shared" si="6"/>
        <v>-48.473393055870446</v>
      </c>
      <c r="D50" s="2">
        <f t="shared" si="7"/>
        <v>530516.4769729845</v>
      </c>
      <c r="E50" s="2">
        <f t="shared" si="8"/>
        <v>-48.473393055870446</v>
      </c>
    </row>
    <row r="51" spans="2:21">
      <c r="B51" s="2">
        <v>4</v>
      </c>
      <c r="C51" s="2">
        <f t="shared" si="6"/>
        <v>-45.974630325326459</v>
      </c>
      <c r="D51" s="2">
        <f t="shared" si="7"/>
        <v>397887.35772973835</v>
      </c>
      <c r="E51" s="2">
        <f t="shared" si="8"/>
        <v>-45.974630325326459</v>
      </c>
    </row>
    <row r="52" spans="2:21">
      <c r="B52" s="2">
        <v>5</v>
      </c>
      <c r="C52" s="2">
        <f t="shared" si="6"/>
        <v>-44.036445495773478</v>
      </c>
      <c r="D52" s="2">
        <f t="shared" si="7"/>
        <v>318309.88618379069</v>
      </c>
      <c r="E52" s="2">
        <f t="shared" si="8"/>
        <v>-44.036445495773478</v>
      </c>
    </row>
    <row r="53" spans="2:21">
      <c r="B53" s="2">
        <v>6</v>
      </c>
      <c r="C53" s="2">
        <f t="shared" si="6"/>
        <v>-42.452839434378703</v>
      </c>
      <c r="D53" s="2">
        <f t="shared" si="7"/>
        <v>265258.23848649225</v>
      </c>
      <c r="E53" s="2">
        <f t="shared" si="8"/>
        <v>-42.452839434378703</v>
      </c>
    </row>
    <row r="54" spans="2:21">
      <c r="B54" s="2">
        <v>7</v>
      </c>
      <c r="C54" s="2">
        <f t="shared" si="6"/>
        <v>-41.113925930229072</v>
      </c>
      <c r="D54" s="2">
        <f t="shared" si="7"/>
        <v>227364.20441699337</v>
      </c>
      <c r="E54" s="2">
        <f t="shared" si="8"/>
        <v>-41.113925930229072</v>
      </c>
    </row>
    <row r="55" spans="2:21">
      <c r="B55" s="2">
        <v>8</v>
      </c>
      <c r="C55" s="2">
        <f t="shared" si="6"/>
        <v>-39.954112707990092</v>
      </c>
      <c r="D55" s="2">
        <f t="shared" si="7"/>
        <v>198943.67886486917</v>
      </c>
      <c r="E55" s="2">
        <f t="shared" si="8"/>
        <v>-39.954112707990092</v>
      </c>
    </row>
    <row r="56" spans="2:21">
      <c r="B56" s="2">
        <v>9</v>
      </c>
      <c r="C56" s="2">
        <f t="shared" si="6"/>
        <v>-38.931091405148415</v>
      </c>
      <c r="D56" s="2">
        <f t="shared" si="7"/>
        <v>176838.82565766151</v>
      </c>
      <c r="E56" s="2">
        <f t="shared" si="8"/>
        <v>-38.931091405148408</v>
      </c>
    </row>
    <row r="57" spans="2:21">
      <c r="B57" s="2">
        <v>10</v>
      </c>
      <c r="C57" s="2">
        <f t="shared" si="6"/>
        <v>-38.015974168763023</v>
      </c>
      <c r="D57" s="2">
        <f t="shared" si="7"/>
        <v>159154.94309189534</v>
      </c>
      <c r="E57" s="2">
        <f t="shared" si="8"/>
        <v>-38.015974168763023</v>
      </c>
    </row>
    <row r="58" spans="2:21">
      <c r="B58" s="2">
        <v>20</v>
      </c>
      <c r="C58" s="2">
        <f t="shared" si="6"/>
        <v>-31.995888562491533</v>
      </c>
      <c r="D58" s="2">
        <f t="shared" si="7"/>
        <v>79577.471545947672</v>
      </c>
      <c r="E58" s="2">
        <f t="shared" si="8"/>
        <v>-31.995888562491533</v>
      </c>
    </row>
    <row r="59" spans="2:21">
      <c r="B59" s="2">
        <v>30</v>
      </c>
      <c r="C59" s="2">
        <f t="shared" si="6"/>
        <v>-28.47492042440112</v>
      </c>
      <c r="D59" s="2">
        <f t="shared" si="7"/>
        <v>53051.647697298446</v>
      </c>
      <c r="E59" s="2">
        <f t="shared" si="8"/>
        <v>-28.474920424401112</v>
      </c>
    </row>
    <row r="60" spans="2:21">
      <c r="B60" s="2">
        <v>40</v>
      </c>
      <c r="C60" s="2">
        <f t="shared" si="6"/>
        <v>-25.977345268400029</v>
      </c>
      <c r="D60" s="2">
        <f t="shared" si="7"/>
        <v>39788.735772973836</v>
      </c>
      <c r="E60" s="2">
        <f t="shared" si="8"/>
        <v>-25.977345268400029</v>
      </c>
    </row>
    <row r="61" spans="2:21">
      <c r="B61" s="2">
        <v>50</v>
      </c>
      <c r="C61" s="2">
        <f t="shared" si="6"/>
        <v>-24.04068683374685</v>
      </c>
      <c r="D61" s="2">
        <f t="shared" si="7"/>
        <v>31830.988618379066</v>
      </c>
      <c r="E61" s="2">
        <f t="shared" si="8"/>
        <v>-24.04068683374685</v>
      </c>
    </row>
    <row r="62" spans="2:21">
      <c r="B62" s="2">
        <v>60</v>
      </c>
      <c r="C62" s="2">
        <f t="shared" si="6"/>
        <v>-22.458945623145038</v>
      </c>
      <c r="D62" s="2">
        <f t="shared" si="7"/>
        <v>26525.823848649223</v>
      </c>
      <c r="E62" s="2">
        <f t="shared" si="8"/>
        <v>-22.458945623145034</v>
      </c>
    </row>
    <row r="63" spans="2:21">
      <c r="B63" s="2">
        <v>70</v>
      </c>
      <c r="C63" s="2">
        <f t="shared" si="6"/>
        <v>-21.122234980811108</v>
      </c>
      <c r="D63" s="2">
        <f t="shared" si="7"/>
        <v>22736.420441699334</v>
      </c>
      <c r="E63" s="2">
        <f t="shared" si="8"/>
        <v>-21.122234980811104</v>
      </c>
    </row>
    <row r="64" spans="2:21">
      <c r="B64" s="2">
        <v>80</v>
      </c>
      <c r="C64" s="2">
        <f t="shared" si="6"/>
        <v>-19.964962106483174</v>
      </c>
      <c r="D64" s="2">
        <f t="shared" si="7"/>
        <v>19894.367886486918</v>
      </c>
      <c r="E64" s="2">
        <f t="shared" si="8"/>
        <v>-19.964962106483174</v>
      </c>
      <c r="U64" s="2" t="s">
        <v>292</v>
      </c>
    </row>
    <row r="65" spans="2:21">
      <c r="B65" s="2">
        <v>90</v>
      </c>
      <c r="C65" s="2">
        <f t="shared" si="6"/>
        <v>-18.944818033075425</v>
      </c>
      <c r="D65" s="2">
        <f t="shared" si="7"/>
        <v>17683.882565766147</v>
      </c>
      <c r="E65" s="2">
        <f t="shared" si="8"/>
        <v>-18.944818033075418</v>
      </c>
      <c r="U65" s="2" t="s">
        <v>294</v>
      </c>
    </row>
    <row r="66" spans="2:21">
      <c r="B66" s="2">
        <v>100</v>
      </c>
      <c r="C66" s="2">
        <f t="shared" si="6"/>
        <v>-18.032914223902658</v>
      </c>
      <c r="D66" s="2">
        <f t="shared" si="7"/>
        <v>15915.494309189533</v>
      </c>
      <c r="E66" s="2">
        <f t="shared" si="8"/>
        <v>-18.032914223902658</v>
      </c>
    </row>
    <row r="67" spans="2:21">
      <c r="B67" s="2">
        <v>200</v>
      </c>
      <c r="C67" s="2">
        <f t="shared" si="6"/>
        <v>-12.063247981752918</v>
      </c>
      <c r="D67" s="2">
        <f t="shared" si="7"/>
        <v>7957.7471545947665</v>
      </c>
      <c r="E67" s="2">
        <f t="shared" si="8"/>
        <v>-12.063247981752916</v>
      </c>
    </row>
    <row r="68" spans="2:21">
      <c r="B68" s="2">
        <v>300</v>
      </c>
      <c r="C68" s="2">
        <f t="shared" si="6"/>
        <v>-8.6250068923629826</v>
      </c>
      <c r="D68" s="2">
        <f t="shared" si="7"/>
        <v>5305.1647697298449</v>
      </c>
      <c r="E68" s="2">
        <f t="shared" si="8"/>
        <v>-8.6250068923629808</v>
      </c>
    </row>
    <row r="69" spans="2:21">
      <c r="B69" s="2">
        <v>400</v>
      </c>
      <c r="C69" s="2">
        <f t="shared" si="6"/>
        <v>-6.2406115148955834</v>
      </c>
      <c r="D69" s="2">
        <f t="shared" si="7"/>
        <v>3978.8735772973832</v>
      </c>
      <c r="E69" s="2">
        <f t="shared" si="8"/>
        <v>-6.2406115148955807</v>
      </c>
    </row>
    <row r="70" spans="2:21">
      <c r="B70" s="2">
        <v>500</v>
      </c>
      <c r="C70" s="2">
        <f t="shared" si="6"/>
        <v>-4.4451782407212228</v>
      </c>
      <c r="D70" s="2">
        <f t="shared" si="7"/>
        <v>3183.098861837907</v>
      </c>
      <c r="E70" s="2">
        <f t="shared" si="8"/>
        <v>-4.445178240721221</v>
      </c>
    </row>
    <row r="71" spans="2:21">
      <c r="B71" s="2">
        <v>600</v>
      </c>
      <c r="C71" s="2">
        <f t="shared" si="6"/>
        <v>-3.0299038371231579</v>
      </c>
      <c r="D71" s="2">
        <f t="shared" si="7"/>
        <v>2652.5823848649225</v>
      </c>
      <c r="E71" s="2">
        <f t="shared" si="8"/>
        <v>-3.0299038371231579</v>
      </c>
    </row>
    <row r="72" spans="2:21">
      <c r="B72" s="2">
        <v>700</v>
      </c>
      <c r="C72" s="2">
        <f t="shared" si="6"/>
        <v>-1.8818632695283259</v>
      </c>
      <c r="D72" s="2">
        <f t="shared" si="7"/>
        <v>2273.6420441699333</v>
      </c>
      <c r="E72" s="2">
        <f t="shared" si="8"/>
        <v>-1.8818632695283237</v>
      </c>
    </row>
    <row r="73" spans="2:21">
      <c r="B73" s="2">
        <v>800</v>
      </c>
      <c r="C73" s="2">
        <f t="shared" si="6"/>
        <v>-0.93234156953539649</v>
      </c>
      <c r="D73" s="2">
        <f t="shared" si="7"/>
        <v>1989.4367886486916</v>
      </c>
      <c r="E73" s="2">
        <f t="shared" si="8"/>
        <v>-0.93234156953539549</v>
      </c>
    </row>
    <row r="74" spans="2:21">
      <c r="B74" s="2">
        <v>900</v>
      </c>
      <c r="C74" s="2">
        <f t="shared" si="6"/>
        <v>-0.13595210590718401</v>
      </c>
      <c r="D74" s="2">
        <f t="shared" si="7"/>
        <v>1768.388256576615</v>
      </c>
      <c r="E74" s="2">
        <f t="shared" si="8"/>
        <v>-0.13595210590718401</v>
      </c>
    </row>
    <row r="75" spans="2:21">
      <c r="B75" s="2">
        <v>1000</v>
      </c>
      <c r="C75" s="2">
        <f t="shared" si="6"/>
        <v>0.53912716423663665</v>
      </c>
      <c r="D75" s="2">
        <f t="shared" si="7"/>
        <v>1591.5494309189535</v>
      </c>
      <c r="E75" s="2">
        <f t="shared" si="8"/>
        <v>0.53912716423663842</v>
      </c>
    </row>
    <row r="76" spans="2:21">
      <c r="B76" s="2">
        <v>2000</v>
      </c>
      <c r="C76" s="2">
        <f t="shared" si="6"/>
        <v>3.8900535734468389</v>
      </c>
      <c r="D76" s="2">
        <f t="shared" si="7"/>
        <v>795.77471545947674</v>
      </c>
      <c r="E76" s="2">
        <f t="shared" si="8"/>
        <v>3.8900535734468376</v>
      </c>
    </row>
    <row r="77" spans="2:21">
      <c r="B77" s="2">
        <v>3000</v>
      </c>
      <c r="C77" s="2">
        <f t="shared" si="6"/>
        <v>4.9435909443963331</v>
      </c>
      <c r="D77" s="2">
        <f t="shared" si="7"/>
        <v>530.51647697298449</v>
      </c>
      <c r="E77" s="2">
        <f t="shared" si="8"/>
        <v>4.9435909443963348</v>
      </c>
    </row>
    <row r="78" spans="2:21">
      <c r="B78" s="2">
        <v>4000</v>
      </c>
      <c r="C78" s="2">
        <f t="shared" si="6"/>
        <v>5.382335548197771</v>
      </c>
      <c r="D78" s="2">
        <f t="shared" si="7"/>
        <v>397.88735772973837</v>
      </c>
      <c r="E78" s="2">
        <f t="shared" si="8"/>
        <v>5.3823355481977693</v>
      </c>
    </row>
    <row r="79" spans="2:21">
      <c r="B79" s="2">
        <v>5000</v>
      </c>
      <c r="C79" s="2">
        <f t="shared" si="6"/>
        <v>5.6014599847633342</v>
      </c>
      <c r="D79" s="2">
        <f t="shared" si="7"/>
        <v>318.30988618379064</v>
      </c>
      <c r="E79" s="2">
        <f t="shared" si="8"/>
        <v>5.6014599847633342</v>
      </c>
    </row>
    <row r="80" spans="2:21">
      <c r="B80" s="2">
        <v>6000</v>
      </c>
      <c r="C80" s="2">
        <f t="shared" ref="C80:C102" si="9">20*LOG($C$7*(B80/$C$12)/SQRT(1+(B80/$C$12)^2))</f>
        <v>5.7252933610705803</v>
      </c>
      <c r="D80" s="2">
        <f t="shared" ref="D80:D102" si="10">1/(2*PI()*B80*$C$4*0.000001)</f>
        <v>265.25823848649225</v>
      </c>
      <c r="E80" s="2">
        <f t="shared" ref="E80:E102" si="11">20*LOG(($C$3*1000/SQRT((($C$3*1000)^2+D80^2)))*(1+($C$5*1000)/($C$2*1000)))</f>
        <v>5.7252933610705803</v>
      </c>
    </row>
    <row r="81" spans="2:5">
      <c r="B81" s="2">
        <v>7000</v>
      </c>
      <c r="C81" s="2">
        <f t="shared" si="9"/>
        <v>5.8017039627357372</v>
      </c>
      <c r="D81" s="2">
        <f t="shared" si="10"/>
        <v>227.36420441699337</v>
      </c>
      <c r="E81" s="2">
        <f t="shared" si="11"/>
        <v>5.8017039627357363</v>
      </c>
    </row>
    <row r="82" spans="2:5">
      <c r="B82" s="2">
        <v>8000</v>
      </c>
      <c r="C82" s="2">
        <f t="shared" si="9"/>
        <v>5.8520266575393247</v>
      </c>
      <c r="D82" s="2">
        <f t="shared" si="10"/>
        <v>198.94367886486918</v>
      </c>
      <c r="E82" s="2">
        <f t="shared" si="11"/>
        <v>5.8520266575393247</v>
      </c>
    </row>
    <row r="83" spans="2:5">
      <c r="B83" s="2">
        <v>9000</v>
      </c>
      <c r="C83" s="2">
        <f t="shared" si="9"/>
        <v>5.8868677744412592</v>
      </c>
      <c r="D83" s="2">
        <f t="shared" si="10"/>
        <v>176.83882565766146</v>
      </c>
      <c r="E83" s="2">
        <f t="shared" si="11"/>
        <v>5.8868677744412592</v>
      </c>
    </row>
    <row r="84" spans="2:5">
      <c r="B84" s="2">
        <v>10000</v>
      </c>
      <c r="C84" s="2">
        <f t="shared" si="9"/>
        <v>5.9119620146364067</v>
      </c>
      <c r="D84" s="2">
        <f t="shared" si="10"/>
        <v>159.15494309189532</v>
      </c>
      <c r="E84" s="2">
        <f t="shared" si="11"/>
        <v>5.9119620146364067</v>
      </c>
    </row>
    <row r="85" spans="2:5">
      <c r="B85" s="2">
        <v>20000</v>
      </c>
      <c r="C85" s="2">
        <f t="shared" si="9"/>
        <v>5.9931846073314841</v>
      </c>
      <c r="D85" s="2">
        <f t="shared" si="10"/>
        <v>79.57747154594766</v>
      </c>
      <c r="E85" s="2">
        <f t="shared" si="11"/>
        <v>5.9931846073314841</v>
      </c>
    </row>
    <row r="86" spans="2:5">
      <c r="B86" s="2">
        <v>30000</v>
      </c>
      <c r="C86" s="2">
        <f t="shared" si="9"/>
        <v>6.0083939622100218</v>
      </c>
      <c r="D86" s="2">
        <f t="shared" si="10"/>
        <v>53.051647697298449</v>
      </c>
      <c r="E86" s="2">
        <f t="shared" si="11"/>
        <v>6.0083939622100218</v>
      </c>
    </row>
    <row r="87" spans="2:5">
      <c r="B87" s="2">
        <v>40000</v>
      </c>
      <c r="C87" s="2">
        <f t="shared" si="9"/>
        <v>6.0137298451608476</v>
      </c>
      <c r="D87" s="2">
        <f t="shared" si="10"/>
        <v>39.78873577297383</v>
      </c>
      <c r="E87" s="2">
        <f t="shared" si="11"/>
        <v>6.0137298451608476</v>
      </c>
    </row>
    <row r="88" spans="2:5">
      <c r="B88" s="2">
        <v>50000</v>
      </c>
      <c r="C88" s="2">
        <f t="shared" si="9"/>
        <v>6.016201817909125</v>
      </c>
      <c r="D88" s="2">
        <f t="shared" si="10"/>
        <v>31.830988618379067</v>
      </c>
      <c r="E88" s="2">
        <f t="shared" si="11"/>
        <v>6.016201817909125</v>
      </c>
    </row>
    <row r="89" spans="2:5">
      <c r="B89" s="2">
        <v>60000</v>
      </c>
      <c r="C89" s="2">
        <f t="shared" si="9"/>
        <v>6.0175452079010352</v>
      </c>
      <c r="D89" s="2">
        <f t="shared" si="10"/>
        <v>26.525823848649225</v>
      </c>
      <c r="E89" s="2">
        <f t="shared" si="11"/>
        <v>6.0175452079010334</v>
      </c>
    </row>
    <row r="90" spans="2:5">
      <c r="B90" s="2">
        <v>70000</v>
      </c>
      <c r="C90" s="2">
        <f t="shared" si="9"/>
        <v>6.0183554305626386</v>
      </c>
      <c r="D90" s="2">
        <f t="shared" si="10"/>
        <v>22.736420441699334</v>
      </c>
      <c r="E90" s="2">
        <f t="shared" si="11"/>
        <v>6.0183554305626386</v>
      </c>
    </row>
    <row r="91" spans="2:5">
      <c r="B91" s="2">
        <v>80000</v>
      </c>
      <c r="C91" s="2">
        <f t="shared" si="9"/>
        <v>6.0188813771341501</v>
      </c>
      <c r="D91" s="2">
        <f t="shared" si="10"/>
        <v>19.894367886486915</v>
      </c>
      <c r="E91" s="2">
        <f t="shared" si="11"/>
        <v>6.0188813771341501</v>
      </c>
    </row>
    <row r="92" spans="2:5">
      <c r="B92" s="2">
        <v>90000</v>
      </c>
      <c r="C92" s="2">
        <f t="shared" si="9"/>
        <v>6.0192420011792791</v>
      </c>
      <c r="D92" s="2">
        <f t="shared" si="10"/>
        <v>17.683882565766147</v>
      </c>
      <c r="E92" s="2">
        <f t="shared" si="11"/>
        <v>6.0192420011792782</v>
      </c>
    </row>
    <row r="93" spans="2:5">
      <c r="B93" s="2">
        <v>100000</v>
      </c>
      <c r="C93" s="2">
        <f t="shared" si="9"/>
        <v>6.0194999718090632</v>
      </c>
      <c r="D93" s="2">
        <f t="shared" si="10"/>
        <v>15.915494309189533</v>
      </c>
      <c r="E93" s="2">
        <f t="shared" si="11"/>
        <v>6.0194999718090649</v>
      </c>
    </row>
    <row r="94" spans="2:5">
      <c r="B94" s="2">
        <v>200000</v>
      </c>
      <c r="C94" s="2">
        <f t="shared" si="9"/>
        <v>6.0203249017937122</v>
      </c>
      <c r="D94" s="2">
        <f t="shared" si="10"/>
        <v>7.9577471545947667</v>
      </c>
      <c r="E94" s="2">
        <f t="shared" si="11"/>
        <v>6.0203249017937113</v>
      </c>
    </row>
    <row r="95" spans="2:5">
      <c r="B95" s="2">
        <v>300000</v>
      </c>
      <c r="C95" s="2">
        <f t="shared" si="9"/>
        <v>6.0204776838025769</v>
      </c>
      <c r="D95" s="2">
        <f t="shared" si="10"/>
        <v>5.3051647697298447</v>
      </c>
      <c r="E95" s="2">
        <f t="shared" si="11"/>
        <v>6.0204776838025769</v>
      </c>
    </row>
    <row r="96" spans="2:5">
      <c r="B96" s="2">
        <v>400000</v>
      </c>
      <c r="C96" s="2">
        <f t="shared" si="9"/>
        <v>6.0205311587754951</v>
      </c>
      <c r="D96" s="2">
        <f t="shared" si="10"/>
        <v>3.9788735772973833</v>
      </c>
      <c r="E96" s="2">
        <f t="shared" si="11"/>
        <v>6.0205311587754959</v>
      </c>
    </row>
    <row r="97" spans="2:5">
      <c r="B97" s="2">
        <v>500000</v>
      </c>
      <c r="C97" s="2">
        <f t="shared" si="9"/>
        <v>6.0205559102715895</v>
      </c>
      <c r="D97" s="2">
        <f t="shared" si="10"/>
        <v>3.1830988618379075</v>
      </c>
      <c r="E97" s="2">
        <f t="shared" si="11"/>
        <v>6.0205559102715887</v>
      </c>
    </row>
    <row r="98" spans="2:5">
      <c r="B98" s="2">
        <v>600000</v>
      </c>
      <c r="C98" s="2">
        <f t="shared" si="9"/>
        <v>6.0205693555878534</v>
      </c>
      <c r="D98" s="2">
        <f t="shared" si="10"/>
        <v>2.6525823848649224</v>
      </c>
      <c r="E98" s="2">
        <f t="shared" si="11"/>
        <v>6.0205693555878526</v>
      </c>
    </row>
    <row r="99" spans="2:5">
      <c r="B99" s="2">
        <v>700000</v>
      </c>
      <c r="C99" s="2">
        <f t="shared" si="9"/>
        <v>6.0205774627096131</v>
      </c>
      <c r="D99" s="2">
        <f t="shared" si="10"/>
        <v>2.2736420441699337</v>
      </c>
      <c r="E99" s="2">
        <f t="shared" si="11"/>
        <v>6.020577462709614</v>
      </c>
    </row>
    <row r="100" spans="2:5">
      <c r="B100" s="2">
        <v>800000</v>
      </c>
      <c r="C100" s="2">
        <f t="shared" si="9"/>
        <v>6.0205827245515469</v>
      </c>
      <c r="D100" s="2">
        <f t="shared" si="10"/>
        <v>1.9894367886486917</v>
      </c>
      <c r="E100" s="2">
        <f t="shared" si="11"/>
        <v>6.0205827245515477</v>
      </c>
    </row>
    <row r="101" spans="2:5">
      <c r="B101" s="2">
        <v>900000</v>
      </c>
      <c r="C101" s="2">
        <f t="shared" si="9"/>
        <v>6.0205863320567365</v>
      </c>
      <c r="D101" s="2">
        <f t="shared" si="10"/>
        <v>1.7683882565766149</v>
      </c>
      <c r="E101" s="2">
        <f t="shared" si="11"/>
        <v>6.0205863320567374</v>
      </c>
    </row>
    <row r="102" spans="2:5">
      <c r="B102" s="2">
        <v>1000000</v>
      </c>
      <c r="C102" s="2">
        <f t="shared" si="9"/>
        <v>6.0205889124858185</v>
      </c>
      <c r="D102" s="2">
        <f t="shared" si="10"/>
        <v>1.5915494309189537</v>
      </c>
      <c r="E102" s="2">
        <f t="shared" si="11"/>
        <v>6.0205889124858167</v>
      </c>
    </row>
  </sheetData>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6232BD-65FA-4547-A395-260FB330660F}">
  <dimension ref="B1:U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1" ht="47.25" thickBot="1">
      <c r="B1" s="1" t="s">
        <v>275</v>
      </c>
    </row>
    <row r="2" spans="2:21" ht="15.75" thickBot="1">
      <c r="B2" s="2" t="s">
        <v>170</v>
      </c>
      <c r="C2" s="4">
        <v>1</v>
      </c>
      <c r="D2" s="2" t="s">
        <v>16</v>
      </c>
      <c r="H2" s="6" t="s">
        <v>36</v>
      </c>
    </row>
    <row r="3" spans="2:21" ht="15.75" thickBot="1">
      <c r="B3" s="2" t="s">
        <v>82</v>
      </c>
      <c r="C3" s="4">
        <v>0.1</v>
      </c>
      <c r="D3" s="2" t="s">
        <v>83</v>
      </c>
      <c r="H3" s="2" t="s">
        <v>9</v>
      </c>
      <c r="I3" s="4">
        <v>5</v>
      </c>
      <c r="J3" s="2" t="s">
        <v>18</v>
      </c>
    </row>
    <row r="4" spans="2:21" ht="15.75" thickBot="1">
      <c r="B4" s="2" t="s">
        <v>99</v>
      </c>
      <c r="C4" s="4">
        <v>1</v>
      </c>
      <c r="D4" s="2" t="s">
        <v>16</v>
      </c>
      <c r="H4" s="2" t="s">
        <v>10</v>
      </c>
      <c r="I4" s="5">
        <v>-5</v>
      </c>
      <c r="J4" s="2" t="s">
        <v>19</v>
      </c>
    </row>
    <row r="5" spans="2:21" ht="15.75" thickBot="1">
      <c r="B5" s="2" t="s">
        <v>0</v>
      </c>
      <c r="C5" s="3">
        <v>0</v>
      </c>
      <c r="D5" s="2" t="s">
        <v>17</v>
      </c>
      <c r="H5" s="2" t="s">
        <v>31</v>
      </c>
      <c r="I5" s="4">
        <v>1.2</v>
      </c>
      <c r="J5" s="2" t="s">
        <v>32</v>
      </c>
    </row>
    <row r="6" spans="2:21">
      <c r="B6" s="2" t="s">
        <v>1</v>
      </c>
      <c r="C6" s="3">
        <f>1+(C4/C2)</f>
        <v>2</v>
      </c>
      <c r="D6" s="2" t="s">
        <v>39</v>
      </c>
    </row>
    <row r="7" spans="2:21" ht="15.75" thickBot="1">
      <c r="B7" s="2" t="s">
        <v>97</v>
      </c>
      <c r="C7" s="3">
        <f>1/(2*PI()*C9*C3*0.000001)</f>
        <v>15915.494309189533</v>
      </c>
      <c r="D7" s="2" t="s">
        <v>214</v>
      </c>
      <c r="H7" s="6" t="s">
        <v>33</v>
      </c>
    </row>
    <row r="8" spans="2:21" ht="15.75" thickBot="1">
      <c r="B8" s="2" t="s">
        <v>25</v>
      </c>
      <c r="C8" s="4">
        <v>1</v>
      </c>
      <c r="D8" s="2" t="s">
        <v>38</v>
      </c>
      <c r="H8" s="6" t="s">
        <v>29</v>
      </c>
      <c r="I8" s="4">
        <v>1</v>
      </c>
      <c r="J8" s="2" t="s">
        <v>17</v>
      </c>
    </row>
    <row r="9" spans="2:21" ht="15.75" thickBot="1">
      <c r="B9" s="2" t="s">
        <v>84</v>
      </c>
      <c r="C9" s="4">
        <v>100</v>
      </c>
      <c r="D9" s="2" t="s">
        <v>80</v>
      </c>
      <c r="H9" s="6" t="s">
        <v>34</v>
      </c>
      <c r="I9" s="3">
        <f>IF($C$6*I8/SQRT(1+($C$9/$C$11)^2)&gt;($I$3-$I$5),($I$3-$I$5),IF($C$6*I8/SQRT(1+($C$9/$C$11)^2)&lt;($I$4+$I$5),($I$4+$I$5),$C$6*I8/SQRT(1+($C$9/$C$11)^2)))</f>
        <v>1.9960638090072895</v>
      </c>
      <c r="J9" s="2" t="s">
        <v>17</v>
      </c>
    </row>
    <row r="10" spans="2:21">
      <c r="B10" s="2" t="s">
        <v>87</v>
      </c>
      <c r="C10" s="3">
        <f>1/C9</f>
        <v>0.01</v>
      </c>
      <c r="D10" s="2" t="s">
        <v>86</v>
      </c>
    </row>
    <row r="11" spans="2:21" ht="15.75" thickBot="1">
      <c r="B11" s="2" t="s">
        <v>81</v>
      </c>
      <c r="C11" s="3">
        <f>1/(2*PI()*(C2*1000)*(C3*0.000001))</f>
        <v>1591.5494309189537</v>
      </c>
      <c r="D11" s="2" t="s">
        <v>80</v>
      </c>
      <c r="H11" s="6" t="s">
        <v>196</v>
      </c>
    </row>
    <row r="12" spans="2:21" ht="15.75" thickBot="1">
      <c r="B12" s="2" t="s">
        <v>89</v>
      </c>
      <c r="C12" s="4">
        <v>4</v>
      </c>
      <c r="D12" s="2" t="s">
        <v>90</v>
      </c>
      <c r="H12" s="17" t="s">
        <v>104</v>
      </c>
      <c r="I12" s="3">
        <f>1000*(C3*1000)*(C4*0.000001)</f>
        <v>9.9999999999999992E-2</v>
      </c>
      <c r="J12" s="2" t="s">
        <v>105</v>
      </c>
      <c r="U12" s="27"/>
    </row>
    <row r="13" spans="2:21">
      <c r="B13" s="2" t="s">
        <v>88</v>
      </c>
      <c r="C13" s="3">
        <f>C10*C12/25</f>
        <v>1.6000000000000001E-3</v>
      </c>
      <c r="D13" s="2" t="s">
        <v>86</v>
      </c>
      <c r="H13" s="17" t="s">
        <v>195</v>
      </c>
      <c r="I13" s="3">
        <f>1/(I12*0.001)</f>
        <v>10000</v>
      </c>
      <c r="J13" s="2" t="s">
        <v>80</v>
      </c>
    </row>
    <row r="16" spans="2:21">
      <c r="E16" s="6" t="s">
        <v>30</v>
      </c>
    </row>
    <row r="17" spans="2:15">
      <c r="B17" s="7" t="s">
        <v>85</v>
      </c>
      <c r="C17" s="7" t="s">
        <v>7</v>
      </c>
      <c r="D17" s="7" t="s">
        <v>3</v>
      </c>
      <c r="E17" s="7" t="s">
        <v>3</v>
      </c>
      <c r="F17" s="28" t="s">
        <v>223</v>
      </c>
    </row>
    <row r="18" spans="2:15">
      <c r="B18" s="2">
        <v>0</v>
      </c>
      <c r="C18" s="2">
        <f t="shared" ref="C18:C43" si="0">$C$8*SIN($B18*$C$9*2*PI())</f>
        <v>0</v>
      </c>
      <c r="D18" s="2">
        <f>C18*(1+SQRT(($C$4/$C$2)^2+($C$9/$C$11)^2))</f>
        <v>0</v>
      </c>
      <c r="E18" s="2">
        <f>IF(D18&gt;($I$3-$I$5),($I$3-$I$5),IF(D18&lt;($I$4+$I$5),($I$4+$I$5),D18))</f>
        <v>0</v>
      </c>
      <c r="F18" s="28">
        <f t="shared" ref="F18:F43" si="1">C18*(1+($C$4*1000/($C$2*1000*$C$7/($C$2*1000+$C$7))))</f>
        <v>0</v>
      </c>
    </row>
    <row r="19" spans="2:15">
      <c r="B19" s="2">
        <f t="shared" ref="B19:B43" si="2">B18+$C$13</f>
        <v>1.6000000000000001E-3</v>
      </c>
      <c r="C19" s="2">
        <f t="shared" si="0"/>
        <v>0.84432792550201508</v>
      </c>
      <c r="D19" s="2">
        <f t="shared" ref="D19:D43" si="3">C19*(1+SQRT(($C$4/$C$2)^2+($C$9/$C$11)^2))</f>
        <v>1.6903208458605361</v>
      </c>
      <c r="E19" s="2">
        <f t="shared" ref="E19:E43" si="4">IF(D19&gt;($I$3-$I$5),($I$3-$I$5),IF(D19&lt;($I$4+$I$5),($I$4+$I$5),D19))</f>
        <v>1.6903208458605361</v>
      </c>
      <c r="F19" s="28">
        <f t="shared" si="1"/>
        <v>1.7417065391635866</v>
      </c>
    </row>
    <row r="20" spans="2:15">
      <c r="B20" s="2">
        <f t="shared" si="2"/>
        <v>3.2000000000000002E-3</v>
      </c>
      <c r="C20" s="2">
        <f t="shared" si="0"/>
        <v>0.90482705246601947</v>
      </c>
      <c r="D20" s="2">
        <f t="shared" si="3"/>
        <v>1.8114384026472752</v>
      </c>
      <c r="E20" s="2">
        <f t="shared" si="4"/>
        <v>1.8114384026472752</v>
      </c>
      <c r="F20" s="28">
        <f t="shared" si="1"/>
        <v>1.8665060653479697</v>
      </c>
    </row>
    <row r="21" spans="2:15">
      <c r="B21" s="2">
        <f t="shared" si="2"/>
        <v>4.8000000000000004E-3</v>
      </c>
      <c r="C21" s="2">
        <f t="shared" si="0"/>
        <v>0.12533323356430409</v>
      </c>
      <c r="D21" s="2">
        <f t="shared" si="3"/>
        <v>0.25091362132418893</v>
      </c>
      <c r="E21" s="2">
        <f t="shared" si="4"/>
        <v>0.25091362132418893</v>
      </c>
      <c r="F21" s="28">
        <f t="shared" si="1"/>
        <v>0.25854138644493357</v>
      </c>
    </row>
    <row r="22" spans="2:15">
      <c r="B22" s="2">
        <f t="shared" si="2"/>
        <v>6.4000000000000003E-3</v>
      </c>
      <c r="C22" s="2">
        <f t="shared" si="0"/>
        <v>-0.77051324277578936</v>
      </c>
      <c r="D22" s="2">
        <f t="shared" si="3"/>
        <v>-1.5425459195858477</v>
      </c>
      <c r="E22" s="2">
        <f t="shared" si="4"/>
        <v>-1.5425459195858477</v>
      </c>
      <c r="F22" s="28">
        <f t="shared" si="1"/>
        <v>-1.5894392604115399</v>
      </c>
    </row>
    <row r="23" spans="2:15">
      <c r="B23" s="2">
        <f t="shared" si="2"/>
        <v>8.0000000000000002E-3</v>
      </c>
      <c r="C23" s="2">
        <f t="shared" si="0"/>
        <v>-0.95105651629515364</v>
      </c>
      <c r="D23" s="2">
        <f t="shared" si="3"/>
        <v>-1.9039884937234166</v>
      </c>
      <c r="E23" s="2">
        <f t="shared" si="4"/>
        <v>-1.9039884937234166</v>
      </c>
      <c r="F23" s="28">
        <f t="shared" si="1"/>
        <v>-1.9618696758851382</v>
      </c>
    </row>
    <row r="24" spans="2:15">
      <c r="B24" s="2">
        <f t="shared" si="2"/>
        <v>9.6000000000000009E-3</v>
      </c>
      <c r="C24" s="2">
        <f t="shared" si="0"/>
        <v>-0.24868988716485449</v>
      </c>
      <c r="D24" s="2">
        <f t="shared" si="3"/>
        <v>-0.49787018495156343</v>
      </c>
      <c r="E24" s="2">
        <f t="shared" si="4"/>
        <v>-0.49787018495156343</v>
      </c>
      <c r="F24" s="28">
        <f t="shared" si="1"/>
        <v>-0.51300542078049249</v>
      </c>
    </row>
    <row r="25" spans="2:15">
      <c r="B25" s="2">
        <f t="shared" si="2"/>
        <v>1.1200000000000002E-2</v>
      </c>
      <c r="C25" s="2">
        <f t="shared" si="0"/>
        <v>0.68454710592868928</v>
      </c>
      <c r="D25" s="2">
        <f t="shared" si="3"/>
        <v>1.3704441226870241</v>
      </c>
      <c r="E25" s="2">
        <f t="shared" si="4"/>
        <v>1.3704441226870241</v>
      </c>
      <c r="F25" s="28">
        <f t="shared" si="1"/>
        <v>1.4121055750378129</v>
      </c>
    </row>
    <row r="26" spans="2:15">
      <c r="B26" s="2">
        <f t="shared" si="2"/>
        <v>1.2800000000000002E-2</v>
      </c>
      <c r="C26" s="2">
        <f t="shared" si="0"/>
        <v>0.98228725072868861</v>
      </c>
      <c r="D26" s="2">
        <f t="shared" si="3"/>
        <v>1.9665115488659446</v>
      </c>
      <c r="E26" s="2">
        <f t="shared" si="4"/>
        <v>1.9665115488659446</v>
      </c>
      <c r="F26" s="28">
        <f t="shared" si="1"/>
        <v>2.0262934296694604</v>
      </c>
    </row>
    <row r="27" spans="2:15">
      <c r="B27" s="2">
        <f t="shared" si="2"/>
        <v>1.4400000000000003E-2</v>
      </c>
      <c r="C27" s="2">
        <f t="shared" si="0"/>
        <v>0.36812455268467631</v>
      </c>
      <c r="D27" s="2">
        <f t="shared" si="3"/>
        <v>0.73697503834901701</v>
      </c>
      <c r="E27" s="2">
        <f t="shared" si="4"/>
        <v>0.73697503834901701</v>
      </c>
      <c r="F27" s="28">
        <f t="shared" si="1"/>
        <v>0.7593790531757566</v>
      </c>
    </row>
    <row r="28" spans="2:15">
      <c r="B28" s="2">
        <f t="shared" si="2"/>
        <v>1.6000000000000004E-2</v>
      </c>
      <c r="C28" s="2">
        <f t="shared" si="0"/>
        <v>-0.58778525229247425</v>
      </c>
      <c r="D28" s="2">
        <f t="shared" si="3"/>
        <v>-1.1767296033097896</v>
      </c>
      <c r="E28" s="2">
        <f t="shared" si="4"/>
        <v>-1.1767296033097896</v>
      </c>
      <c r="F28" s="28">
        <f t="shared" si="1"/>
        <v>-1.2125021411947574</v>
      </c>
      <c r="O28" s="2" t="s">
        <v>282</v>
      </c>
    </row>
    <row r="29" spans="2:15">
      <c r="B29" s="2">
        <f t="shared" si="2"/>
        <v>1.7600000000000005E-2</v>
      </c>
      <c r="C29" s="2">
        <f t="shared" si="0"/>
        <v>-0.99802672842827134</v>
      </c>
      <c r="D29" s="2">
        <f t="shared" si="3"/>
        <v>-1.9980215421457987</v>
      </c>
      <c r="E29" s="2">
        <f t="shared" si="4"/>
        <v>-1.9980215421457987</v>
      </c>
      <c r="F29" s="28">
        <f t="shared" si="1"/>
        <v>-2.0587613256188724</v>
      </c>
      <c r="O29" s="29" t="s">
        <v>283</v>
      </c>
    </row>
    <row r="30" spans="2:15">
      <c r="B30" s="2">
        <f t="shared" si="2"/>
        <v>1.9200000000000005E-2</v>
      </c>
      <c r="C30" s="2">
        <f t="shared" si="0"/>
        <v>-0.48175367410171166</v>
      </c>
      <c r="D30" s="2">
        <f t="shared" si="3"/>
        <v>-0.96445735514415709</v>
      </c>
      <c r="E30" s="2">
        <f t="shared" si="4"/>
        <v>-0.96445735514415709</v>
      </c>
      <c r="F30" s="28">
        <f t="shared" si="1"/>
        <v>-0.9937768242713797</v>
      </c>
    </row>
    <row r="31" spans="2:15">
      <c r="B31" s="2">
        <f t="shared" si="2"/>
        <v>2.0800000000000006E-2</v>
      </c>
      <c r="C31" s="2">
        <f t="shared" si="0"/>
        <v>0.48175367410171699</v>
      </c>
      <c r="D31" s="2">
        <f t="shared" si="3"/>
        <v>0.96445735514416775</v>
      </c>
      <c r="E31" s="2">
        <f t="shared" si="4"/>
        <v>0.96445735514416775</v>
      </c>
      <c r="F31" s="28">
        <f t="shared" si="1"/>
        <v>0.99377682427139069</v>
      </c>
    </row>
    <row r="32" spans="2:15">
      <c r="B32" s="2">
        <f t="shared" si="2"/>
        <v>2.2400000000000007E-2</v>
      </c>
      <c r="C32" s="2">
        <f t="shared" si="0"/>
        <v>0.99802672842827178</v>
      </c>
      <c r="D32" s="2">
        <f t="shared" si="3"/>
        <v>1.9980215421457996</v>
      </c>
      <c r="E32" s="2">
        <f t="shared" si="4"/>
        <v>1.9980215421457996</v>
      </c>
      <c r="F32" s="28">
        <f t="shared" si="1"/>
        <v>2.0587613256188737</v>
      </c>
    </row>
    <row r="33" spans="2:11">
      <c r="B33" s="2">
        <f t="shared" si="2"/>
        <v>2.4000000000000007E-2</v>
      </c>
      <c r="C33" s="2">
        <f t="shared" si="0"/>
        <v>0.58778525229246925</v>
      </c>
      <c r="D33" s="2">
        <f t="shared" si="3"/>
        <v>1.1767296033097796</v>
      </c>
      <c r="E33" s="2">
        <f t="shared" si="4"/>
        <v>1.1767296033097796</v>
      </c>
      <c r="F33" s="28">
        <f t="shared" si="1"/>
        <v>1.2125021411947472</v>
      </c>
    </row>
    <row r="34" spans="2:11">
      <c r="B34" s="2">
        <f t="shared" si="2"/>
        <v>2.5600000000000008E-2</v>
      </c>
      <c r="C34" s="2">
        <f t="shared" si="0"/>
        <v>-0.36812455268468203</v>
      </c>
      <c r="D34" s="2">
        <f t="shared" si="3"/>
        <v>-0.73697503834902844</v>
      </c>
      <c r="E34" s="2">
        <f t="shared" si="4"/>
        <v>-0.73697503834902844</v>
      </c>
      <c r="F34" s="28">
        <f t="shared" si="1"/>
        <v>-0.75937905317576848</v>
      </c>
    </row>
    <row r="35" spans="2:11">
      <c r="B35" s="2">
        <f t="shared" si="2"/>
        <v>2.7200000000000009E-2</v>
      </c>
      <c r="C35" s="2">
        <f t="shared" si="0"/>
        <v>-0.98228725072868972</v>
      </c>
      <c r="D35" s="2">
        <f t="shared" si="3"/>
        <v>-1.9665115488659468</v>
      </c>
      <c r="E35" s="2">
        <f t="shared" si="4"/>
        <v>-1.9665115488659468</v>
      </c>
      <c r="F35" s="28">
        <f t="shared" si="1"/>
        <v>-2.0262934296694626</v>
      </c>
    </row>
    <row r="36" spans="2:11">
      <c r="B36" s="2">
        <f t="shared" si="2"/>
        <v>2.880000000000001E-2</v>
      </c>
      <c r="C36" s="2">
        <f t="shared" si="0"/>
        <v>-0.68454710592868606</v>
      </c>
      <c r="D36" s="2">
        <f t="shared" si="3"/>
        <v>-1.3704441226870177</v>
      </c>
      <c r="E36" s="2">
        <f t="shared" si="4"/>
        <v>-1.3704441226870177</v>
      </c>
      <c r="F36" s="28">
        <f t="shared" si="1"/>
        <v>-1.4121055750378062</v>
      </c>
    </row>
    <row r="37" spans="2:11">
      <c r="B37" s="2">
        <f t="shared" si="2"/>
        <v>3.040000000000001E-2</v>
      </c>
      <c r="C37" s="2">
        <f t="shared" si="0"/>
        <v>0.24868988716485957</v>
      </c>
      <c r="D37" s="2">
        <f t="shared" si="3"/>
        <v>0.49787018495157365</v>
      </c>
      <c r="E37" s="2">
        <f t="shared" si="4"/>
        <v>0.49787018495157365</v>
      </c>
      <c r="F37" s="28">
        <f t="shared" si="1"/>
        <v>0.51300542078050304</v>
      </c>
      <c r="H37" s="6" t="s">
        <v>65</v>
      </c>
    </row>
    <row r="38" spans="2:11">
      <c r="B38" s="2">
        <f t="shared" si="2"/>
        <v>3.2000000000000008E-2</v>
      </c>
      <c r="C38" s="2">
        <f t="shared" si="0"/>
        <v>0.95105651629515442</v>
      </c>
      <c r="D38" s="2">
        <f t="shared" si="3"/>
        <v>1.9039884937234182</v>
      </c>
      <c r="E38" s="2">
        <f t="shared" si="4"/>
        <v>1.9039884937234182</v>
      </c>
      <c r="F38" s="28">
        <f t="shared" si="1"/>
        <v>1.9618696758851397</v>
      </c>
      <c r="H38" s="12" t="s">
        <v>64</v>
      </c>
      <c r="I38" s="12">
        <f>I3</f>
        <v>5</v>
      </c>
      <c r="J38" s="12" t="s">
        <v>17</v>
      </c>
      <c r="K38" s="13" t="str">
        <f>TRIM(H38)&amp;"   "&amp;IF(I38&gt;0,"+","")&amp;TRIM(I38)&amp;" "&amp;TRIM(J38)</f>
        <v>V+:   +5 V</v>
      </c>
    </row>
    <row r="39" spans="2:11">
      <c r="B39" s="2">
        <f t="shared" si="2"/>
        <v>3.3600000000000005E-2</v>
      </c>
      <c r="C39" s="2">
        <f t="shared" si="0"/>
        <v>0.77051324277578881</v>
      </c>
      <c r="D39" s="2">
        <f t="shared" si="3"/>
        <v>1.5425459195858466</v>
      </c>
      <c r="E39" s="2">
        <f t="shared" si="4"/>
        <v>1.5425459195858466</v>
      </c>
      <c r="F39" s="28">
        <f t="shared" si="1"/>
        <v>1.5894392604115386</v>
      </c>
      <c r="H39" s="12" t="s">
        <v>66</v>
      </c>
      <c r="I39" s="12">
        <f>I4</f>
        <v>-5</v>
      </c>
      <c r="J39" s="12" t="s">
        <v>17</v>
      </c>
      <c r="K39" s="13" t="str">
        <f t="shared" ref="K39:K40" si="5">TRIM(H39)&amp;"   "&amp;IF(I39&gt;0,"+","")&amp;TRIM(I39)&amp;" "&amp;TRIM(J39)</f>
        <v>V-:   -5 V</v>
      </c>
    </row>
    <row r="40" spans="2:11">
      <c r="B40" s="2">
        <f t="shared" si="2"/>
        <v>3.5200000000000002E-2</v>
      </c>
      <c r="C40" s="2">
        <f t="shared" si="0"/>
        <v>-0.12533323356430268</v>
      </c>
      <c r="D40" s="2">
        <f t="shared" si="3"/>
        <v>-0.2509136213241861</v>
      </c>
      <c r="E40" s="2">
        <f t="shared" si="4"/>
        <v>-0.2509136213241861</v>
      </c>
      <c r="F40" s="28">
        <f t="shared" si="1"/>
        <v>-0.25854138644493063</v>
      </c>
      <c r="H40" s="12" t="s">
        <v>29</v>
      </c>
      <c r="I40" s="12">
        <f>I8</f>
        <v>1</v>
      </c>
      <c r="J40" s="12" t="s">
        <v>17</v>
      </c>
      <c r="K40" s="13" t="str">
        <f t="shared" si="5"/>
        <v>Vin:   +1 V</v>
      </c>
    </row>
    <row r="41" spans="2:11">
      <c r="B41" s="2">
        <f t="shared" si="2"/>
        <v>3.6799999999999999E-2</v>
      </c>
      <c r="C41" s="2">
        <f t="shared" si="0"/>
        <v>-0.90482705246601791</v>
      </c>
      <c r="D41" s="2">
        <f t="shared" si="3"/>
        <v>-1.8114384026472721</v>
      </c>
      <c r="E41" s="2">
        <f t="shared" si="4"/>
        <v>-1.8114384026472721</v>
      </c>
      <c r="F41" s="28">
        <f t="shared" si="1"/>
        <v>-1.8665060653479664</v>
      </c>
      <c r="H41" s="12" t="s">
        <v>67</v>
      </c>
      <c r="I41" s="12">
        <f>C2</f>
        <v>1</v>
      </c>
      <c r="J41" s="12" t="s">
        <v>16</v>
      </c>
      <c r="K41" s="13" t="str">
        <f>TRIM(H41)&amp;"   "&amp;TRIM(I41)&amp;" "&amp;TRIM(J41)</f>
        <v>R1:   1 K</v>
      </c>
    </row>
    <row r="42" spans="2:11">
      <c r="B42" s="2">
        <f t="shared" si="2"/>
        <v>3.8399999999999997E-2</v>
      </c>
      <c r="C42" s="2">
        <f t="shared" si="0"/>
        <v>-0.8443279255020163</v>
      </c>
      <c r="D42" s="2">
        <f t="shared" si="3"/>
        <v>-1.6903208458605385</v>
      </c>
      <c r="E42" s="2">
        <f t="shared" si="4"/>
        <v>-1.6903208458605385</v>
      </c>
      <c r="F42" s="28">
        <f t="shared" si="1"/>
        <v>-1.7417065391635891</v>
      </c>
      <c r="H42" s="12" t="s">
        <v>100</v>
      </c>
      <c r="I42" s="12">
        <f>C3</f>
        <v>0.1</v>
      </c>
      <c r="J42" s="12" t="s">
        <v>83</v>
      </c>
      <c r="K42" s="13" t="str">
        <f>TRIM(H42)&amp;"   "&amp;TRIM(I42)&amp;" "&amp;TRIM(J42)</f>
        <v>C1:   0.1 uF</v>
      </c>
    </row>
    <row r="43" spans="2:11">
      <c r="B43" s="2">
        <f t="shared" si="2"/>
        <v>3.9999999999999994E-2</v>
      </c>
      <c r="C43" s="2">
        <f t="shared" si="0"/>
        <v>-4.5328324427273969E-15</v>
      </c>
      <c r="D43" s="2">
        <f t="shared" si="3"/>
        <v>-9.074603524666635E-15</v>
      </c>
      <c r="E43" s="2">
        <f t="shared" si="4"/>
        <v>-9.074603524666635E-15</v>
      </c>
      <c r="F43" s="28">
        <f t="shared" si="1"/>
        <v>-9.3504711474953095E-15</v>
      </c>
      <c r="H43" s="12" t="s">
        <v>101</v>
      </c>
      <c r="I43" s="12">
        <f>ROUND(C9,0)</f>
        <v>100</v>
      </c>
      <c r="J43" s="12" t="s">
        <v>80</v>
      </c>
      <c r="K43" s="13" t="str">
        <f>TRIM(H43)&amp;"   "&amp;TRIM(I43)&amp;" "&amp;TRIM(J43)</f>
        <v>f,signal:   100 Hz</v>
      </c>
    </row>
    <row r="45" spans="2:11">
      <c r="B45" s="6" t="s">
        <v>92</v>
      </c>
    </row>
    <row r="46" spans="2:11" ht="15.75">
      <c r="B46" s="14"/>
      <c r="C46" s="2" t="s">
        <v>95</v>
      </c>
    </row>
    <row r="47" spans="2:11">
      <c r="B47" s="7" t="s">
        <v>93</v>
      </c>
      <c r="C47" s="7" t="s">
        <v>94</v>
      </c>
      <c r="D47" s="7" t="s">
        <v>97</v>
      </c>
      <c r="E47" s="7" t="s">
        <v>218</v>
      </c>
    </row>
    <row r="48" spans="2:11">
      <c r="B48" s="2">
        <v>1</v>
      </c>
      <c r="C48" s="2">
        <f>20*LOG((1+SQRT(($C$4/$C$2)^2+($B48/$C$11)^2)))</f>
        <v>6.0206007705424422</v>
      </c>
      <c r="D48" s="2">
        <f t="shared" ref="D48:D79" si="6">1/(2*PI()*B48*$C$3*0.000001)</f>
        <v>1591549.4309189534</v>
      </c>
      <c r="E48" s="2">
        <f>20*LOG(1+($C$4*1000)/(1/SQRT((1/D48)^2+(1/($C$2*1000))^2)))</f>
        <v>6.0206007705424422</v>
      </c>
    </row>
    <row r="49" spans="2:5">
      <c r="B49" s="2">
        <v>2</v>
      </c>
      <c r="C49" s="2">
        <f t="shared" ref="C49:C102" si="7">20*LOG((1+SQRT(($C$4/$C$2)^2+($B49/$C$11)^2)))</f>
        <v>6.0206033423293768</v>
      </c>
      <c r="D49" s="2">
        <f t="shared" si="6"/>
        <v>795774.71545947669</v>
      </c>
      <c r="E49" s="2">
        <f t="shared" ref="E49:E102" si="8">20*LOG(1+($C$4*1000)/(1/SQRT((1/D49)^2+(1/($C$2*1000))^2)))</f>
        <v>6.0206033423293768</v>
      </c>
    </row>
    <row r="50" spans="2:5">
      <c r="B50" s="2">
        <v>3</v>
      </c>
      <c r="C50" s="2">
        <f t="shared" si="7"/>
        <v>6.0206076286358581</v>
      </c>
      <c r="D50" s="2">
        <f t="shared" si="6"/>
        <v>530516.4769729845</v>
      </c>
      <c r="E50" s="2">
        <f t="shared" si="8"/>
        <v>6.0206076286358581</v>
      </c>
    </row>
    <row r="51" spans="2:5">
      <c r="B51" s="2">
        <v>4</v>
      </c>
      <c r="C51" s="2">
        <f t="shared" si="7"/>
        <v>6.02061362945427</v>
      </c>
      <c r="D51" s="2">
        <f t="shared" si="6"/>
        <v>397887.35772973835</v>
      </c>
      <c r="E51" s="2">
        <f t="shared" si="8"/>
        <v>6.02061362945427</v>
      </c>
    </row>
    <row r="52" spans="2:5">
      <c r="B52" s="2">
        <v>5</v>
      </c>
      <c r="C52" s="2">
        <f t="shared" si="7"/>
        <v>6.0206213447739545</v>
      </c>
      <c r="D52" s="2">
        <f t="shared" si="6"/>
        <v>318309.88618379069</v>
      </c>
      <c r="E52" s="2">
        <f t="shared" si="8"/>
        <v>6.0206213447739545</v>
      </c>
    </row>
    <row r="53" spans="2:5">
      <c r="B53" s="2">
        <v>6</v>
      </c>
      <c r="C53" s="2">
        <f t="shared" si="7"/>
        <v>6.0206307745812015</v>
      </c>
      <c r="D53" s="2">
        <f t="shared" si="6"/>
        <v>265258.23848649225</v>
      </c>
      <c r="E53" s="2">
        <f t="shared" si="8"/>
        <v>6.0206307745812015</v>
      </c>
    </row>
    <row r="54" spans="2:5">
      <c r="B54" s="2">
        <v>7</v>
      </c>
      <c r="C54" s="2">
        <f t="shared" si="7"/>
        <v>6.0206419188592637</v>
      </c>
      <c r="D54" s="2">
        <f t="shared" si="6"/>
        <v>227364.20441699337</v>
      </c>
      <c r="E54" s="2">
        <f t="shared" si="8"/>
        <v>6.0206419188592637</v>
      </c>
    </row>
    <row r="55" spans="2:5">
      <c r="B55" s="2">
        <v>8</v>
      </c>
      <c r="C55" s="2">
        <f t="shared" si="7"/>
        <v>6.0206547775883399</v>
      </c>
      <c r="D55" s="2">
        <f t="shared" si="6"/>
        <v>198943.67886486917</v>
      </c>
      <c r="E55" s="2">
        <f t="shared" si="8"/>
        <v>6.0206547775883399</v>
      </c>
    </row>
    <row r="56" spans="2:5">
      <c r="B56" s="2">
        <v>9</v>
      </c>
      <c r="C56" s="2">
        <f t="shared" si="7"/>
        <v>6.0206693507455888</v>
      </c>
      <c r="D56" s="2">
        <f t="shared" si="6"/>
        <v>176838.82565766151</v>
      </c>
      <c r="E56" s="2">
        <f t="shared" si="8"/>
        <v>6.0206693507455888</v>
      </c>
    </row>
    <row r="57" spans="2:5">
      <c r="B57" s="2">
        <v>10</v>
      </c>
      <c r="C57" s="2">
        <f t="shared" si="7"/>
        <v>6.0206856383051228</v>
      </c>
      <c r="D57" s="2">
        <f t="shared" si="6"/>
        <v>159154.94309189534</v>
      </c>
      <c r="E57" s="2">
        <f t="shared" si="8"/>
        <v>6.0206856383051228</v>
      </c>
    </row>
    <row r="58" spans="2:5">
      <c r="B58" s="2">
        <v>20</v>
      </c>
      <c r="C58" s="2">
        <f t="shared" si="7"/>
        <v>6.0209427981537722</v>
      </c>
      <c r="D58" s="2">
        <f t="shared" si="6"/>
        <v>79577.471545947672</v>
      </c>
      <c r="E58" s="2">
        <f t="shared" si="8"/>
        <v>6.0209427981537722</v>
      </c>
    </row>
    <row r="59" spans="2:5">
      <c r="B59" s="2">
        <v>30</v>
      </c>
      <c r="C59" s="2">
        <f t="shared" si="7"/>
        <v>6.0213713471520247</v>
      </c>
      <c r="D59" s="2">
        <f t="shared" si="6"/>
        <v>53051.647697298446</v>
      </c>
      <c r="E59" s="2">
        <f t="shared" si="8"/>
        <v>6.0213713471520247</v>
      </c>
    </row>
    <row r="60" spans="2:5">
      <c r="B60" s="2">
        <v>40</v>
      </c>
      <c r="C60" s="2">
        <f t="shared" si="7"/>
        <v>6.021971209210685</v>
      </c>
      <c r="D60" s="2">
        <f t="shared" si="6"/>
        <v>39788.735772973836</v>
      </c>
      <c r="E60" s="2">
        <f t="shared" si="8"/>
        <v>6.021971209210685</v>
      </c>
    </row>
    <row r="61" spans="2:5">
      <c r="B61" s="2">
        <v>50</v>
      </c>
      <c r="C61" s="2">
        <f t="shared" si="7"/>
        <v>6.0227422778749204</v>
      </c>
      <c r="D61" s="2">
        <f t="shared" si="6"/>
        <v>31830.988618379066</v>
      </c>
      <c r="E61" s="2">
        <f t="shared" si="8"/>
        <v>6.0227422778749204</v>
      </c>
    </row>
    <row r="62" spans="2:5">
      <c r="B62" s="2">
        <v>60</v>
      </c>
      <c r="C62" s="2">
        <f t="shared" si="7"/>
        <v>6.0236844163941692</v>
      </c>
      <c r="D62" s="2">
        <f t="shared" si="6"/>
        <v>26525.823848649223</v>
      </c>
      <c r="E62" s="2">
        <f t="shared" si="8"/>
        <v>6.0236844163941683</v>
      </c>
    </row>
    <row r="63" spans="2:5">
      <c r="B63" s="2">
        <v>70</v>
      </c>
      <c r="C63" s="2">
        <f t="shared" si="7"/>
        <v>6.0247974578118644</v>
      </c>
      <c r="D63" s="2">
        <f t="shared" si="6"/>
        <v>22736.420441699334</v>
      </c>
      <c r="E63" s="2">
        <f t="shared" si="8"/>
        <v>6.0247974578118644</v>
      </c>
    </row>
    <row r="64" spans="2:5">
      <c r="B64" s="2">
        <v>80</v>
      </c>
      <c r="C64" s="2">
        <f t="shared" si="7"/>
        <v>6.0260812050748234</v>
      </c>
      <c r="D64" s="2">
        <f t="shared" si="6"/>
        <v>19894.367886486918</v>
      </c>
      <c r="E64" s="2">
        <f t="shared" si="8"/>
        <v>6.0260812050748234</v>
      </c>
    </row>
    <row r="65" spans="2:5">
      <c r="B65" s="2">
        <v>90</v>
      </c>
      <c r="C65" s="2">
        <f t="shared" si="7"/>
        <v>6.0275354311621516</v>
      </c>
      <c r="D65" s="2">
        <f t="shared" si="6"/>
        <v>17683.882565766147</v>
      </c>
      <c r="E65" s="2">
        <f t="shared" si="8"/>
        <v>6.0275354311621516</v>
      </c>
    </row>
    <row r="66" spans="2:5">
      <c r="B66" s="2">
        <v>100</v>
      </c>
      <c r="C66" s="2">
        <f t="shared" si="7"/>
        <v>6.0291598792334877</v>
      </c>
      <c r="D66" s="2">
        <f t="shared" si="6"/>
        <v>15915.494309189533</v>
      </c>
      <c r="E66" s="2">
        <f t="shared" si="8"/>
        <v>6.0291598792334877</v>
      </c>
    </row>
    <row r="67" spans="2:5">
      <c r="B67" s="2">
        <v>200</v>
      </c>
      <c r="C67" s="2">
        <f t="shared" si="7"/>
        <v>6.0546891340023423</v>
      </c>
      <c r="D67" s="2">
        <f t="shared" si="6"/>
        <v>7957.7471545947665</v>
      </c>
      <c r="E67" s="2">
        <f t="shared" si="8"/>
        <v>6.0546891340023423</v>
      </c>
    </row>
    <row r="68" spans="2:5">
      <c r="B68" s="2">
        <v>300</v>
      </c>
      <c r="C68" s="2">
        <f t="shared" si="7"/>
        <v>6.0967454160195693</v>
      </c>
      <c r="D68" s="2">
        <f t="shared" si="6"/>
        <v>5305.1647697298449</v>
      </c>
      <c r="E68" s="2">
        <f t="shared" si="8"/>
        <v>6.0967454160195693</v>
      </c>
    </row>
    <row r="69" spans="2:5">
      <c r="B69" s="2">
        <v>400</v>
      </c>
      <c r="C69" s="2">
        <f t="shared" si="7"/>
        <v>6.1546225111384398</v>
      </c>
      <c r="D69" s="2">
        <f t="shared" si="6"/>
        <v>3978.8735772973832</v>
      </c>
      <c r="E69" s="2">
        <f t="shared" si="8"/>
        <v>6.1546225111384398</v>
      </c>
    </row>
    <row r="70" spans="2:5">
      <c r="B70" s="2">
        <v>500</v>
      </c>
      <c r="C70" s="2">
        <f t="shared" si="7"/>
        <v>6.2273922216285795</v>
      </c>
      <c r="D70" s="2">
        <f t="shared" si="6"/>
        <v>3183.098861837907</v>
      </c>
      <c r="E70" s="2">
        <f t="shared" si="8"/>
        <v>6.2273922216285795</v>
      </c>
    </row>
    <row r="71" spans="2:5">
      <c r="B71" s="2">
        <v>600</v>
      </c>
      <c r="C71" s="2">
        <f t="shared" si="7"/>
        <v>6.3139554227148231</v>
      </c>
      <c r="D71" s="2">
        <f t="shared" si="6"/>
        <v>2652.5823848649225</v>
      </c>
      <c r="E71" s="2">
        <f t="shared" si="8"/>
        <v>6.3139554227148231</v>
      </c>
    </row>
    <row r="72" spans="2:5">
      <c r="B72" s="2">
        <v>700</v>
      </c>
      <c r="C72" s="2">
        <f t="shared" si="7"/>
        <v>6.4130965461415883</v>
      </c>
      <c r="D72" s="2">
        <f t="shared" si="6"/>
        <v>2273.6420441699333</v>
      </c>
      <c r="E72" s="2">
        <f t="shared" si="8"/>
        <v>6.4130965461415883</v>
      </c>
    </row>
    <row r="73" spans="2:5">
      <c r="B73" s="2">
        <v>800</v>
      </c>
      <c r="C73" s="2">
        <f t="shared" si="7"/>
        <v>6.5235363768787575</v>
      </c>
      <c r="D73" s="2">
        <f t="shared" si="6"/>
        <v>1989.4367886486916</v>
      </c>
      <c r="E73" s="2">
        <f t="shared" si="8"/>
        <v>6.5235363768787575</v>
      </c>
    </row>
    <row r="74" spans="2:5">
      <c r="B74" s="2">
        <v>900</v>
      </c>
      <c r="C74" s="2">
        <f t="shared" si="7"/>
        <v>6.6439792698033031</v>
      </c>
      <c r="D74" s="2">
        <f t="shared" si="6"/>
        <v>1768.388256576615</v>
      </c>
      <c r="E74" s="2">
        <f t="shared" si="8"/>
        <v>6.6439792698033031</v>
      </c>
    </row>
    <row r="75" spans="2:5">
      <c r="B75" s="2">
        <v>1000</v>
      </c>
      <c r="C75" s="2">
        <f t="shared" si="7"/>
        <v>6.7731523880387225</v>
      </c>
      <c r="D75" s="2">
        <f t="shared" si="6"/>
        <v>1591.5494309189535</v>
      </c>
      <c r="E75" s="2">
        <f t="shared" si="8"/>
        <v>6.7731523880387243</v>
      </c>
    </row>
    <row r="76" spans="2:5">
      <c r="B76" s="2">
        <v>2000</v>
      </c>
      <c r="C76" s="2">
        <f t="shared" si="7"/>
        <v>8.3193851884194991</v>
      </c>
      <c r="D76" s="2">
        <f t="shared" si="6"/>
        <v>795.77471545947674</v>
      </c>
      <c r="E76" s="2">
        <f t="shared" si="8"/>
        <v>8.3193851884194991</v>
      </c>
    </row>
    <row r="77" spans="2:5">
      <c r="B77" s="2">
        <v>3000</v>
      </c>
      <c r="C77" s="2">
        <f t="shared" si="7"/>
        <v>9.9213963919051515</v>
      </c>
      <c r="D77" s="2">
        <f t="shared" si="6"/>
        <v>530.51647697298449</v>
      </c>
      <c r="E77" s="2">
        <f t="shared" si="8"/>
        <v>9.9213963919051515</v>
      </c>
    </row>
    <row r="78" spans="2:5">
      <c r="B78" s="2">
        <v>4000</v>
      </c>
      <c r="C78" s="2">
        <f t="shared" si="7"/>
        <v>11.375557024472908</v>
      </c>
      <c r="D78" s="2">
        <f t="shared" si="6"/>
        <v>397.88735772973837</v>
      </c>
      <c r="E78" s="2">
        <f t="shared" si="8"/>
        <v>11.375557024472908</v>
      </c>
    </row>
    <row r="79" spans="2:5">
      <c r="B79" s="2">
        <v>5000</v>
      </c>
      <c r="C79" s="2">
        <f t="shared" si="7"/>
        <v>12.663121729886388</v>
      </c>
      <c r="D79" s="2">
        <f t="shared" si="6"/>
        <v>318.30988618379064</v>
      </c>
      <c r="E79" s="2">
        <f t="shared" si="8"/>
        <v>12.663121729886392</v>
      </c>
    </row>
    <row r="80" spans="2:5">
      <c r="B80" s="2">
        <v>6000</v>
      </c>
      <c r="C80" s="2">
        <f t="shared" si="7"/>
        <v>13.804428434444514</v>
      </c>
      <c r="D80" s="2">
        <f t="shared" ref="D80:D102" si="9">1/(2*PI()*B80*$C$3*0.000001)</f>
        <v>265.25823848649225</v>
      </c>
      <c r="E80" s="2">
        <f t="shared" si="8"/>
        <v>13.804428434444517</v>
      </c>
    </row>
    <row r="81" spans="2:5">
      <c r="B81" s="2">
        <v>7000</v>
      </c>
      <c r="C81" s="2">
        <f t="shared" si="7"/>
        <v>14.823787700250389</v>
      </c>
      <c r="D81" s="2">
        <f t="shared" si="9"/>
        <v>227.36420441699337</v>
      </c>
      <c r="E81" s="2">
        <f t="shared" si="8"/>
        <v>14.82378770025039</v>
      </c>
    </row>
    <row r="82" spans="2:5">
      <c r="B82" s="2">
        <v>8000</v>
      </c>
      <c r="C82" s="2">
        <f t="shared" si="7"/>
        <v>15.742199650505714</v>
      </c>
      <c r="D82" s="2">
        <f t="shared" si="9"/>
        <v>198.94367886486918</v>
      </c>
      <c r="E82" s="2">
        <f t="shared" si="8"/>
        <v>15.742199650505718</v>
      </c>
    </row>
    <row r="83" spans="2:5">
      <c r="B83" s="2">
        <v>9000</v>
      </c>
      <c r="C83" s="2">
        <f t="shared" si="7"/>
        <v>16.576555046796997</v>
      </c>
      <c r="D83" s="2">
        <f t="shared" si="9"/>
        <v>176.83882565766146</v>
      </c>
      <c r="E83" s="2">
        <f t="shared" si="8"/>
        <v>16.576555046796997</v>
      </c>
    </row>
    <row r="84" spans="2:5">
      <c r="B84" s="2">
        <v>10000</v>
      </c>
      <c r="C84" s="2">
        <f t="shared" si="7"/>
        <v>17.340229066079644</v>
      </c>
      <c r="D84" s="2">
        <f t="shared" si="9"/>
        <v>159.15494309189532</v>
      </c>
      <c r="E84" s="2">
        <f t="shared" si="8"/>
        <v>17.340229066079644</v>
      </c>
    </row>
    <row r="85" spans="2:5">
      <c r="B85" s="2">
        <v>20000</v>
      </c>
      <c r="C85" s="2">
        <f t="shared" si="7"/>
        <v>22.674670973307979</v>
      </c>
      <c r="D85" s="2">
        <f t="shared" si="9"/>
        <v>79.57747154594766</v>
      </c>
      <c r="E85" s="2">
        <f t="shared" si="8"/>
        <v>22.674670973307983</v>
      </c>
    </row>
    <row r="86" spans="2:5">
      <c r="B86" s="2">
        <v>30000</v>
      </c>
      <c r="C86" s="2">
        <f t="shared" si="7"/>
        <v>25.966607339660477</v>
      </c>
      <c r="D86" s="2">
        <f t="shared" si="9"/>
        <v>53.051647697298449</v>
      </c>
      <c r="E86" s="2">
        <f t="shared" si="8"/>
        <v>25.966607339660484</v>
      </c>
    </row>
    <row r="87" spans="2:5">
      <c r="B87" s="2">
        <v>40000</v>
      </c>
      <c r="C87" s="2">
        <f t="shared" si="7"/>
        <v>28.350306637172014</v>
      </c>
      <c r="D87" s="2">
        <f t="shared" si="9"/>
        <v>39.78873577297383</v>
      </c>
      <c r="E87" s="2">
        <f t="shared" si="8"/>
        <v>28.350306637172018</v>
      </c>
    </row>
    <row r="88" spans="2:5">
      <c r="B88" s="2">
        <v>50000</v>
      </c>
      <c r="C88" s="2">
        <f t="shared" si="7"/>
        <v>30.219431240489037</v>
      </c>
      <c r="D88" s="2">
        <f t="shared" si="9"/>
        <v>31.830988618379067</v>
      </c>
      <c r="E88" s="2">
        <f t="shared" si="8"/>
        <v>30.219431240489044</v>
      </c>
    </row>
    <row r="89" spans="2:5">
      <c r="B89" s="2">
        <v>60000</v>
      </c>
      <c r="C89" s="2">
        <f t="shared" si="7"/>
        <v>31.756995742868021</v>
      </c>
      <c r="D89" s="2">
        <f t="shared" si="9"/>
        <v>26.525823848649225</v>
      </c>
      <c r="E89" s="2">
        <f t="shared" si="8"/>
        <v>31.756995742868021</v>
      </c>
    </row>
    <row r="90" spans="2:5">
      <c r="B90" s="2">
        <v>70000</v>
      </c>
      <c r="C90" s="2">
        <f t="shared" si="7"/>
        <v>33.06302719522828</v>
      </c>
      <c r="D90" s="2">
        <f t="shared" si="9"/>
        <v>22.736420441699334</v>
      </c>
      <c r="E90" s="2">
        <f t="shared" si="8"/>
        <v>33.063027195228287</v>
      </c>
    </row>
    <row r="91" spans="2:5">
      <c r="B91" s="2">
        <v>80000</v>
      </c>
      <c r="C91" s="2">
        <f t="shared" si="7"/>
        <v>34.198185994260037</v>
      </c>
      <c r="D91" s="2">
        <f t="shared" si="9"/>
        <v>19.894367886486915</v>
      </c>
      <c r="E91" s="2">
        <f t="shared" si="8"/>
        <v>34.198185994260044</v>
      </c>
    </row>
    <row r="92" spans="2:5">
      <c r="B92" s="2">
        <v>90000</v>
      </c>
      <c r="C92" s="2">
        <f t="shared" si="7"/>
        <v>35.20203980377638</v>
      </c>
      <c r="D92" s="2">
        <f t="shared" si="9"/>
        <v>17.683882565766147</v>
      </c>
      <c r="E92" s="2">
        <f t="shared" si="8"/>
        <v>35.20203980377638</v>
      </c>
    </row>
    <row r="93" spans="2:5">
      <c r="B93" s="2">
        <v>100000</v>
      </c>
      <c r="C93" s="2">
        <f t="shared" si="7"/>
        <v>36.101831758822541</v>
      </c>
      <c r="D93" s="2">
        <f t="shared" si="9"/>
        <v>15.915494309189533</v>
      </c>
      <c r="E93" s="2">
        <f t="shared" si="8"/>
        <v>36.101831758822549</v>
      </c>
    </row>
    <row r="94" spans="2:5">
      <c r="B94" s="2">
        <v>200000</v>
      </c>
      <c r="C94" s="2">
        <f t="shared" si="7"/>
        <v>42.053316664501423</v>
      </c>
      <c r="D94" s="2">
        <f t="shared" si="9"/>
        <v>7.9577471545947667</v>
      </c>
      <c r="E94" s="2">
        <f t="shared" si="8"/>
        <v>42.053316664501423</v>
      </c>
    </row>
    <row r="95" spans="2:5">
      <c r="B95" s="2">
        <v>300000</v>
      </c>
      <c r="C95" s="2">
        <f t="shared" si="7"/>
        <v>45.552102321107697</v>
      </c>
      <c r="D95" s="2">
        <f t="shared" si="9"/>
        <v>5.3051647697298447</v>
      </c>
      <c r="E95" s="2">
        <f t="shared" si="8"/>
        <v>45.552102321107697</v>
      </c>
    </row>
    <row r="96" spans="2:5">
      <c r="B96" s="2">
        <v>400000</v>
      </c>
      <c r="C96" s="2">
        <f t="shared" si="7"/>
        <v>48.039357159309198</v>
      </c>
      <c r="D96" s="2">
        <f t="shared" si="9"/>
        <v>3.9788735772973833</v>
      </c>
      <c r="E96" s="2">
        <f t="shared" si="8"/>
        <v>48.039357159309198</v>
      </c>
    </row>
    <row r="97" spans="2:5">
      <c r="B97" s="2">
        <v>500000</v>
      </c>
      <c r="C97" s="2">
        <f t="shared" si="7"/>
        <v>49.970645452614981</v>
      </c>
      <c r="D97" s="2">
        <f t="shared" si="9"/>
        <v>3.1830988618379075</v>
      </c>
      <c r="E97" s="2">
        <f t="shared" si="8"/>
        <v>49.970645452614981</v>
      </c>
    </row>
    <row r="98" spans="2:5">
      <c r="B98" s="2">
        <v>600000</v>
      </c>
      <c r="C98" s="2">
        <f t="shared" si="7"/>
        <v>51.549662385667041</v>
      </c>
      <c r="D98" s="2">
        <f t="shared" si="9"/>
        <v>2.6525823848649224</v>
      </c>
      <c r="E98" s="2">
        <f t="shared" si="8"/>
        <v>51.549662385667041</v>
      </c>
    </row>
    <row r="99" spans="2:5">
      <c r="B99" s="2">
        <v>700000</v>
      </c>
      <c r="C99" s="2">
        <f t="shared" si="7"/>
        <v>52.885306754304708</v>
      </c>
      <c r="D99" s="2">
        <f t="shared" si="9"/>
        <v>2.2736420441699337</v>
      </c>
      <c r="E99" s="2">
        <f t="shared" si="8"/>
        <v>52.885306754304708</v>
      </c>
    </row>
    <row r="100" spans="2:5">
      <c r="B100" s="2">
        <v>800000</v>
      </c>
      <c r="C100" s="2">
        <f t="shared" si="7"/>
        <v>54.04267712399065</v>
      </c>
      <c r="D100" s="2">
        <f t="shared" si="9"/>
        <v>1.9894367886486917</v>
      </c>
      <c r="E100" s="2">
        <f t="shared" si="8"/>
        <v>54.04267712399065</v>
      </c>
    </row>
    <row r="101" spans="2:5">
      <c r="B101" s="2">
        <v>900000</v>
      </c>
      <c r="C101" s="2">
        <f t="shared" si="7"/>
        <v>55.063807573177044</v>
      </c>
      <c r="D101" s="2">
        <f t="shared" si="9"/>
        <v>1.7683882565766149</v>
      </c>
      <c r="E101" s="2">
        <f t="shared" si="8"/>
        <v>55.063807573177044</v>
      </c>
    </row>
    <row r="102" spans="2:5">
      <c r="B102" s="2">
        <v>1000000</v>
      </c>
      <c r="C102" s="2">
        <f t="shared" si="7"/>
        <v>55.977421384036681</v>
      </c>
      <c r="D102" s="2">
        <f t="shared" si="9"/>
        <v>1.5915494309189537</v>
      </c>
      <c r="E102" s="2">
        <f t="shared" si="8"/>
        <v>55.977421384036681</v>
      </c>
    </row>
  </sheetData>
  <pageMargins left="0.7" right="0.7" top="0.75" bottom="0.75" header="0.3" footer="0.3"/>
  <pageSetup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B5277-3BBD-489D-A567-03F8E141768D}">
  <sheetPr codeName="Sheet9"/>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46</v>
      </c>
    </row>
    <row r="2" spans="2:9" ht="15.75" thickBot="1">
      <c r="B2" s="2" t="s">
        <v>12</v>
      </c>
      <c r="C2" s="4">
        <v>1</v>
      </c>
      <c r="D2" s="2" t="s">
        <v>16</v>
      </c>
      <c r="G2" s="6" t="s">
        <v>36</v>
      </c>
    </row>
    <row r="3" spans="2:9" ht="15.75" thickBot="1">
      <c r="B3" s="2" t="s">
        <v>15</v>
      </c>
      <c r="C3" s="4">
        <v>3</v>
      </c>
      <c r="D3" s="2" t="s">
        <v>16</v>
      </c>
      <c r="G3" s="2" t="s">
        <v>9</v>
      </c>
      <c r="H3" s="4">
        <v>5</v>
      </c>
      <c r="I3" s="2" t="s">
        <v>18</v>
      </c>
    </row>
    <row r="4" spans="2:9" ht="15.75" thickBot="1">
      <c r="B4" s="2" t="s">
        <v>11</v>
      </c>
      <c r="C4" s="4">
        <v>-0.5</v>
      </c>
      <c r="D4" s="2" t="s">
        <v>17</v>
      </c>
      <c r="G4" s="2" t="s">
        <v>10</v>
      </c>
      <c r="H4" s="5">
        <v>-5</v>
      </c>
      <c r="I4" s="2" t="s">
        <v>19</v>
      </c>
    </row>
    <row r="5" spans="2:9" ht="15.75" thickBot="1">
      <c r="B5" s="2" t="s">
        <v>0</v>
      </c>
      <c r="C5" s="3">
        <f>(1-C6)*C4</f>
        <v>1.5</v>
      </c>
      <c r="D5" s="2" t="s">
        <v>17</v>
      </c>
      <c r="G5" s="2" t="s">
        <v>31</v>
      </c>
      <c r="H5" s="4">
        <v>1.4</v>
      </c>
      <c r="I5" s="2" t="s">
        <v>32</v>
      </c>
    </row>
    <row r="6" spans="2:9" ht="15.75" thickBot="1">
      <c r="B6" s="2" t="s">
        <v>1</v>
      </c>
      <c r="C6" s="3">
        <f>1+C3/C2</f>
        <v>4</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 t="shared" ref="C10:C35" si="0">$C$7*SIN($B10)</f>
        <v>0</v>
      </c>
      <c r="D10" s="2">
        <f>$C$6*C10+(1-$C$6)*$C$4</f>
        <v>1.5</v>
      </c>
      <c r="E10" s="2">
        <f t="shared" ref="E10:E35" si="1">IF(D10&gt;($H$3-$H$5),($H$3-$H$5),IF(D10&lt;($H$4+$H$5),($H$4+$H$5),D10))</f>
        <v>1.5</v>
      </c>
      <c r="G10" s="6" t="s">
        <v>34</v>
      </c>
      <c r="H10" s="3">
        <f>IF($C$6*H9+(1-$C$6)*$C$4&gt;($H$3-$H$5),($H$3-$H$5),IF($C$6*H9+(1-$C$6)*$C$4&lt;($H$4+$H$5),($H$4+$H$5),$C$6*H9+(1-$C$6)*$C$4))</f>
        <v>-3.6</v>
      </c>
      <c r="I10" s="2" t="s">
        <v>17</v>
      </c>
    </row>
    <row r="11" spans="2:9">
      <c r="B11" s="2">
        <v>0.1</v>
      </c>
      <c r="C11" s="2">
        <f t="shared" si="0"/>
        <v>9.9833416646828155E-2</v>
      </c>
      <c r="D11" s="2">
        <f t="shared" ref="D11:D35" si="2">$C$6*C11+(1-$C$6)*$C$4</f>
        <v>1.8993336665873126</v>
      </c>
      <c r="E11" s="2">
        <f t="shared" si="1"/>
        <v>1.8993336665873126</v>
      </c>
    </row>
    <row r="12" spans="2:9">
      <c r="B12" s="2">
        <v>0.2</v>
      </c>
      <c r="C12" s="2">
        <f t="shared" si="0"/>
        <v>0.19866933079506122</v>
      </c>
      <c r="D12" s="2">
        <f t="shared" si="2"/>
        <v>2.2946773231802449</v>
      </c>
      <c r="E12" s="2">
        <f t="shared" si="1"/>
        <v>2.2946773231802449</v>
      </c>
    </row>
    <row r="13" spans="2:9">
      <c r="B13" s="2">
        <v>1.2</v>
      </c>
      <c r="C13" s="2">
        <f t="shared" si="0"/>
        <v>0.93203908596722629</v>
      </c>
      <c r="D13" s="2">
        <f t="shared" si="2"/>
        <v>5.2281563438689052</v>
      </c>
      <c r="E13" s="2">
        <f t="shared" si="1"/>
        <v>3.6</v>
      </c>
    </row>
    <row r="14" spans="2:9">
      <c r="B14" s="2">
        <v>2.2000000000000002</v>
      </c>
      <c r="C14" s="2">
        <f t="shared" si="0"/>
        <v>0.80849640381959009</v>
      </c>
      <c r="D14" s="2">
        <f t="shared" si="2"/>
        <v>4.7339856152783604</v>
      </c>
      <c r="E14" s="2">
        <f t="shared" si="1"/>
        <v>3.6</v>
      </c>
    </row>
    <row r="15" spans="2:9">
      <c r="B15" s="2">
        <v>3.2</v>
      </c>
      <c r="C15" s="2">
        <f t="shared" si="0"/>
        <v>-5.8374143427580086E-2</v>
      </c>
      <c r="D15" s="2">
        <f t="shared" si="2"/>
        <v>1.2665034262896797</v>
      </c>
      <c r="E15" s="2">
        <f t="shared" si="1"/>
        <v>1.2665034262896797</v>
      </c>
    </row>
    <row r="16" spans="2:9">
      <c r="B16" s="2">
        <v>4.2</v>
      </c>
      <c r="C16" s="2">
        <f t="shared" si="0"/>
        <v>-0.87157577241358819</v>
      </c>
      <c r="D16" s="2">
        <f t="shared" si="2"/>
        <v>-1.9863030896543528</v>
      </c>
      <c r="E16" s="2">
        <f t="shared" si="1"/>
        <v>-1.9863030896543528</v>
      </c>
    </row>
    <row r="17" spans="2:10">
      <c r="B17" s="2">
        <v>5.2</v>
      </c>
      <c r="C17" s="2">
        <f t="shared" si="0"/>
        <v>-0.88345465572015314</v>
      </c>
      <c r="D17" s="2">
        <f t="shared" si="2"/>
        <v>-2.0338186228806125</v>
      </c>
      <c r="E17" s="2">
        <f t="shared" si="1"/>
        <v>-2.0338186228806125</v>
      </c>
    </row>
    <row r="18" spans="2:10">
      <c r="B18" s="2">
        <v>6.2</v>
      </c>
      <c r="C18" s="2">
        <f t="shared" si="0"/>
        <v>-8.3089402817496397E-2</v>
      </c>
      <c r="D18" s="2">
        <f t="shared" si="2"/>
        <v>1.1676423887300145</v>
      </c>
      <c r="E18" s="2">
        <f t="shared" si="1"/>
        <v>1.1676423887300145</v>
      </c>
    </row>
    <row r="19" spans="2:10">
      <c r="B19" s="2">
        <v>7.2</v>
      </c>
      <c r="C19" s="2">
        <f t="shared" si="0"/>
        <v>0.79366786384915311</v>
      </c>
      <c r="D19" s="2">
        <f t="shared" si="2"/>
        <v>4.6746714553966129</v>
      </c>
      <c r="E19" s="2">
        <f t="shared" si="1"/>
        <v>3.6</v>
      </c>
    </row>
    <row r="20" spans="2:10">
      <c r="B20" s="2">
        <v>8.1999999999999993</v>
      </c>
      <c r="C20" s="2">
        <f t="shared" si="0"/>
        <v>0.94073055667977312</v>
      </c>
      <c r="D20" s="2">
        <f t="shared" si="2"/>
        <v>5.2629222267190929</v>
      </c>
      <c r="E20" s="2">
        <f t="shared" si="1"/>
        <v>3.6</v>
      </c>
    </row>
    <row r="21" spans="2:10">
      <c r="B21" s="2">
        <v>9.1999999999999993</v>
      </c>
      <c r="C21" s="2">
        <f t="shared" si="0"/>
        <v>0.22288991410024764</v>
      </c>
      <c r="D21" s="2">
        <f t="shared" si="2"/>
        <v>2.3915596564009904</v>
      </c>
      <c r="E21" s="2">
        <f t="shared" si="1"/>
        <v>2.3915596564009904</v>
      </c>
    </row>
    <row r="22" spans="2:10">
      <c r="B22" s="2">
        <v>10.199999999999999</v>
      </c>
      <c r="C22" s="2">
        <f t="shared" si="0"/>
        <v>-0.69987468759354232</v>
      </c>
      <c r="D22" s="2">
        <f t="shared" si="2"/>
        <v>-1.2994987503741693</v>
      </c>
      <c r="E22" s="2">
        <f t="shared" si="1"/>
        <v>-1.2994987503741693</v>
      </c>
    </row>
    <row r="23" spans="2:10">
      <c r="B23" s="2">
        <v>11.2</v>
      </c>
      <c r="C23" s="2">
        <f t="shared" si="0"/>
        <v>-0.9791777291513174</v>
      </c>
      <c r="D23" s="2">
        <f t="shared" si="2"/>
        <v>-2.4167109166052696</v>
      </c>
      <c r="E23" s="2">
        <f t="shared" si="1"/>
        <v>-2.4167109166052696</v>
      </c>
    </row>
    <row r="24" spans="2:10">
      <c r="B24" s="2">
        <v>12.2</v>
      </c>
      <c r="C24" s="2">
        <f t="shared" si="0"/>
        <v>-0.35822928223682871</v>
      </c>
      <c r="D24" s="2">
        <f t="shared" si="2"/>
        <v>6.7082871052685178E-2</v>
      </c>
      <c r="E24" s="2">
        <f t="shared" si="1"/>
        <v>6.7082871052685178E-2</v>
      </c>
    </row>
    <row r="25" spans="2:10">
      <c r="B25" s="2">
        <v>13.2</v>
      </c>
      <c r="C25" s="2">
        <f t="shared" si="0"/>
        <v>0.59207351470722303</v>
      </c>
      <c r="D25" s="2">
        <f t="shared" si="2"/>
        <v>3.8682940588288921</v>
      </c>
      <c r="E25" s="2">
        <f t="shared" si="1"/>
        <v>3.6</v>
      </c>
    </row>
    <row r="26" spans="2:10">
      <c r="B26" s="2">
        <v>14.2</v>
      </c>
      <c r="C26" s="2">
        <f t="shared" si="0"/>
        <v>0.99802665271636171</v>
      </c>
      <c r="D26" s="2">
        <f t="shared" si="2"/>
        <v>5.4921066108654468</v>
      </c>
      <c r="E26" s="2">
        <f t="shared" si="1"/>
        <v>3.6</v>
      </c>
    </row>
    <row r="27" spans="2:10">
      <c r="B27" s="2">
        <v>15.2</v>
      </c>
      <c r="C27" s="2">
        <f t="shared" si="0"/>
        <v>0.48639868885379967</v>
      </c>
      <c r="D27" s="2">
        <f t="shared" si="2"/>
        <v>3.4455947554151987</v>
      </c>
      <c r="E27" s="2">
        <f t="shared" si="1"/>
        <v>3.4455947554151987</v>
      </c>
    </row>
    <row r="28" spans="2:10">
      <c r="B28" s="2">
        <v>16.2</v>
      </c>
      <c r="C28" s="2">
        <f t="shared" si="0"/>
        <v>-0.47242198639846616</v>
      </c>
      <c r="D28" s="2">
        <f t="shared" si="2"/>
        <v>-0.38968794559386466</v>
      </c>
      <c r="E28" s="2">
        <f t="shared" si="1"/>
        <v>-0.38968794559386466</v>
      </c>
    </row>
    <row r="29" spans="2:10">
      <c r="B29" s="2">
        <v>17.2</v>
      </c>
      <c r="C29" s="2">
        <f t="shared" si="0"/>
        <v>-0.99690006604159609</v>
      </c>
      <c r="D29" s="2">
        <f t="shared" si="2"/>
        <v>-2.4876002641663844</v>
      </c>
      <c r="E29" s="2">
        <f t="shared" si="1"/>
        <v>-2.4876002641663844</v>
      </c>
      <c r="G29" s="6" t="s">
        <v>65</v>
      </c>
    </row>
    <row r="30" spans="2:10">
      <c r="B30" s="2">
        <v>18.2</v>
      </c>
      <c r="C30" s="2">
        <f t="shared" si="0"/>
        <v>-0.60483282240628411</v>
      </c>
      <c r="D30" s="2">
        <f t="shared" si="2"/>
        <v>-0.91933128962513644</v>
      </c>
      <c r="E30" s="2">
        <f t="shared" si="1"/>
        <v>-0.91933128962513644</v>
      </c>
      <c r="G30" s="12" t="s">
        <v>64</v>
      </c>
      <c r="H30" s="12">
        <f>H3</f>
        <v>5</v>
      </c>
      <c r="I30" s="12" t="s">
        <v>17</v>
      </c>
      <c r="J30" s="13" t="str">
        <f>TRIM(G30)&amp;"   "&amp;IF(H30&gt;0,"+","")&amp;TRIM(H30)&amp;" "&amp;TRIM(I30)</f>
        <v>V+:   +5 V</v>
      </c>
    </row>
    <row r="31" spans="2:10">
      <c r="B31" s="2">
        <v>19.2</v>
      </c>
      <c r="C31" s="2">
        <f t="shared" si="0"/>
        <v>0.34331492881989539</v>
      </c>
      <c r="D31" s="2">
        <f t="shared" si="2"/>
        <v>2.8732597152795813</v>
      </c>
      <c r="E31" s="2">
        <f t="shared" si="1"/>
        <v>2.8732597152795813</v>
      </c>
      <c r="G31" s="12" t="s">
        <v>66</v>
      </c>
      <c r="H31" s="12">
        <f>H4</f>
        <v>-5</v>
      </c>
      <c r="I31" s="12" t="s">
        <v>17</v>
      </c>
      <c r="J31" s="13" t="str">
        <f t="shared" ref="J31:J32" si="3">TRIM(G31)&amp;"   "&amp;IF(H31&gt;0,"+","")&amp;TRIM(H31)&amp;" "&amp;TRIM(I31)</f>
        <v>V-:   -5 V</v>
      </c>
    </row>
    <row r="32" spans="2:10">
      <c r="B32" s="2">
        <v>20.2</v>
      </c>
      <c r="C32" s="2">
        <f t="shared" si="0"/>
        <v>0.97582051776697554</v>
      </c>
      <c r="D32" s="2">
        <f t="shared" si="2"/>
        <v>5.4032820710679026</v>
      </c>
      <c r="E32" s="2">
        <f t="shared" si="1"/>
        <v>3.6</v>
      </c>
      <c r="G32" s="12" t="s">
        <v>29</v>
      </c>
      <c r="H32" s="12">
        <f>H9</f>
        <v>-2.5</v>
      </c>
      <c r="I32" s="12" t="s">
        <v>17</v>
      </c>
      <c r="J32" s="13" t="str">
        <f t="shared" si="3"/>
        <v>Vin:   -2.5 V</v>
      </c>
    </row>
    <row r="33" spans="2:10">
      <c r="B33" s="2">
        <v>21.2</v>
      </c>
      <c r="C33" s="2">
        <f t="shared" si="0"/>
        <v>0.71116122290598238</v>
      </c>
      <c r="D33" s="2">
        <f t="shared" si="2"/>
        <v>4.3446448916239291</v>
      </c>
      <c r="E33" s="2">
        <f t="shared" si="1"/>
        <v>3.6</v>
      </c>
      <c r="G33" s="12" t="s">
        <v>69</v>
      </c>
      <c r="H33" s="12">
        <f>C4</f>
        <v>-0.5</v>
      </c>
      <c r="I33" s="12" t="s">
        <v>17</v>
      </c>
      <c r="J33" s="13" t="str">
        <f>TRIM(G33)&amp;"   "&amp;TRIM(H33)&amp;" "&amp;TRIM(I33)</f>
        <v>Vb:   -0.5 V</v>
      </c>
    </row>
    <row r="34" spans="2:10">
      <c r="B34" s="2">
        <v>22.2</v>
      </c>
      <c r="C34" s="2">
        <f t="shared" si="0"/>
        <v>-0.20733642060675878</v>
      </c>
      <c r="D34" s="2">
        <f t="shared" si="2"/>
        <v>0.6706543175729649</v>
      </c>
      <c r="E34" s="2">
        <f t="shared" si="1"/>
        <v>0.6706543175729649</v>
      </c>
      <c r="G34" s="12" t="s">
        <v>67</v>
      </c>
      <c r="H34" s="12">
        <f>C2</f>
        <v>1</v>
      </c>
      <c r="I34" s="12" t="s">
        <v>16</v>
      </c>
      <c r="J34" s="13" t="str">
        <f>TRIM(G34)&amp;"   "&amp;TRIM(H34)&amp;" "&amp;TRIM(I34)</f>
        <v>R1:   1 K</v>
      </c>
    </row>
    <row r="35" spans="2:10">
      <c r="B35" s="2">
        <v>23.2</v>
      </c>
      <c r="C35" s="2">
        <f t="shared" si="0"/>
        <v>-0.93520991519453889</v>
      </c>
      <c r="D35" s="2">
        <f t="shared" si="2"/>
        <v>-2.2408396607781556</v>
      </c>
      <c r="E35" s="2">
        <f t="shared" si="1"/>
        <v>-2.2408396607781556</v>
      </c>
      <c r="G35" s="12" t="s">
        <v>68</v>
      </c>
      <c r="H35" s="12">
        <f>C3</f>
        <v>3</v>
      </c>
      <c r="I35" s="12" t="s">
        <v>16</v>
      </c>
      <c r="J35" s="13" t="str">
        <f>TRIM(G35)&amp;"   "&amp;TRIM(H35)&amp;" "&amp;TRIM(I35)</f>
        <v>RF:   3 K</v>
      </c>
    </row>
  </sheetData>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683180-748D-45D5-ABB2-56D435F0DD12}">
  <dimension ref="B1:S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256</v>
      </c>
    </row>
    <row r="2" spans="2:9" ht="15.75" thickBot="1">
      <c r="B2" s="2" t="s">
        <v>12</v>
      </c>
      <c r="C2" s="4">
        <v>1</v>
      </c>
      <c r="D2" s="2" t="s">
        <v>16</v>
      </c>
      <c r="G2" s="6" t="s">
        <v>36</v>
      </c>
    </row>
    <row r="3" spans="2:9" ht="15.75" thickBot="1">
      <c r="B3" s="2" t="s">
        <v>15</v>
      </c>
      <c r="C3" s="4">
        <v>10</v>
      </c>
      <c r="D3" s="2" t="s">
        <v>16</v>
      </c>
      <c r="G3" s="2" t="s">
        <v>9</v>
      </c>
      <c r="H3" s="4">
        <v>5</v>
      </c>
      <c r="I3" s="2" t="s">
        <v>18</v>
      </c>
    </row>
    <row r="4" spans="2:9" ht="15.75" thickBot="1">
      <c r="B4" s="2" t="s">
        <v>11</v>
      </c>
      <c r="C4" s="3">
        <f>H3/2</f>
        <v>2.5</v>
      </c>
      <c r="D4" s="2" t="s">
        <v>248</v>
      </c>
      <c r="G4" s="2" t="s">
        <v>10</v>
      </c>
      <c r="H4" s="5">
        <v>0</v>
      </c>
      <c r="I4" s="2" t="s">
        <v>19</v>
      </c>
    </row>
    <row r="5" spans="2:9" ht="15.75" thickBot="1">
      <c r="B5" s="2" t="s">
        <v>0</v>
      </c>
      <c r="C5" s="3">
        <f>(1-C6)*C4</f>
        <v>-25</v>
      </c>
      <c r="D5" s="2" t="s">
        <v>17</v>
      </c>
      <c r="G5" s="2" t="s">
        <v>31</v>
      </c>
      <c r="H5" s="4">
        <v>0</v>
      </c>
      <c r="I5" s="2" t="s">
        <v>32</v>
      </c>
    </row>
    <row r="6" spans="2:9" ht="15.75" thickBot="1">
      <c r="B6" s="2" t="s">
        <v>1</v>
      </c>
      <c r="C6" s="3">
        <f>1+C3/C2</f>
        <v>11</v>
      </c>
      <c r="D6" s="2" t="s">
        <v>39</v>
      </c>
    </row>
    <row r="7" spans="2:9" ht="15.75" thickBot="1">
      <c r="B7" s="2" t="s">
        <v>25</v>
      </c>
      <c r="C7" s="4">
        <v>0.1</v>
      </c>
      <c r="D7" s="2" t="s">
        <v>254</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$C$7*SIN($B10)+$C$4</f>
        <v>2.5</v>
      </c>
      <c r="D10" s="2">
        <f>$C$6*(C10-$C$4)+$C$4</f>
        <v>2.5</v>
      </c>
      <c r="E10" s="2">
        <f t="shared" ref="E10:E35" si="0">IF(D10&gt;($H$3-$H$5),($H$3-$H$5),IF(D10&lt;($H$4+$H$5),($H$4+$H$5),D10))</f>
        <v>2.5</v>
      </c>
      <c r="G10" s="6" t="s">
        <v>34</v>
      </c>
      <c r="H10" s="3">
        <f>IF($C$6*H9+(1-$C$6)*$C$4&gt;($H$3-$H$5),($H$3-$H$5),IF($C$6*H9+(1-$C$6)*$C$4&lt;($H$4+$H$5),($H$4+$H$5),$C$6*H9+(1-$C$6)*$C$4))</f>
        <v>0</v>
      </c>
      <c r="I10" s="2" t="s">
        <v>17</v>
      </c>
    </row>
    <row r="11" spans="2:9">
      <c r="B11" s="2">
        <v>0.1</v>
      </c>
      <c r="C11" s="2">
        <f t="shared" ref="C11:C35" si="1">$C$7*SIN($B11)+$C$4</f>
        <v>2.5099833416646828</v>
      </c>
      <c r="D11" s="2">
        <f t="shared" ref="D11:D35" si="2">$C$6*(C11-$C$4)+$C$4</f>
        <v>2.6098167583115113</v>
      </c>
      <c r="E11" s="2">
        <f t="shared" si="0"/>
        <v>2.6098167583115113</v>
      </c>
    </row>
    <row r="12" spans="2:9">
      <c r="B12" s="2">
        <v>0.2</v>
      </c>
      <c r="C12" s="2">
        <f t="shared" si="1"/>
        <v>2.519866933079506</v>
      </c>
      <c r="D12" s="2">
        <f t="shared" si="2"/>
        <v>2.7185362638745665</v>
      </c>
      <c r="E12" s="2">
        <f t="shared" si="0"/>
        <v>2.7185362638745665</v>
      </c>
    </row>
    <row r="13" spans="2:9">
      <c r="B13" s="2">
        <v>1.2</v>
      </c>
      <c r="C13" s="2">
        <f t="shared" si="1"/>
        <v>2.5932039085967227</v>
      </c>
      <c r="D13" s="2">
        <f t="shared" si="2"/>
        <v>3.5252429945639494</v>
      </c>
      <c r="E13" s="2">
        <f t="shared" si="0"/>
        <v>3.5252429945639494</v>
      </c>
    </row>
    <row r="14" spans="2:9">
      <c r="B14" s="2">
        <v>2.2000000000000002</v>
      </c>
      <c r="C14" s="2">
        <f t="shared" si="1"/>
        <v>2.5808496403819592</v>
      </c>
      <c r="D14" s="2">
        <f t="shared" si="2"/>
        <v>3.3893460442015511</v>
      </c>
      <c r="E14" s="2">
        <f t="shared" si="0"/>
        <v>3.3893460442015511</v>
      </c>
    </row>
    <row r="15" spans="2:9">
      <c r="B15" s="2">
        <v>3.2</v>
      </c>
      <c r="C15" s="2">
        <f t="shared" si="1"/>
        <v>2.494162585657242</v>
      </c>
      <c r="D15" s="2">
        <f t="shared" si="2"/>
        <v>2.4357884422296623</v>
      </c>
      <c r="E15" s="2">
        <f t="shared" si="0"/>
        <v>2.4357884422296623</v>
      </c>
    </row>
    <row r="16" spans="2:9">
      <c r="B16" s="2">
        <v>4.2</v>
      </c>
      <c r="C16" s="2">
        <f t="shared" si="1"/>
        <v>2.4128424227586414</v>
      </c>
      <c r="D16" s="2">
        <f t="shared" si="2"/>
        <v>1.5412666503450549</v>
      </c>
      <c r="E16" s="2">
        <f t="shared" si="0"/>
        <v>1.5412666503450549</v>
      </c>
    </row>
    <row r="17" spans="2:19">
      <c r="B17" s="2">
        <v>5.2</v>
      </c>
      <c r="C17" s="2">
        <f t="shared" si="1"/>
        <v>2.4116545344279845</v>
      </c>
      <c r="D17" s="2">
        <f t="shared" si="2"/>
        <v>1.5281998787078295</v>
      </c>
      <c r="E17" s="2">
        <f t="shared" si="0"/>
        <v>1.5281998787078295</v>
      </c>
    </row>
    <row r="18" spans="2:19">
      <c r="B18" s="2">
        <v>6.2</v>
      </c>
      <c r="C18" s="2">
        <f t="shared" si="1"/>
        <v>2.4916910597182502</v>
      </c>
      <c r="D18" s="2">
        <f t="shared" si="2"/>
        <v>2.4086016569007525</v>
      </c>
      <c r="E18" s="2">
        <f t="shared" si="0"/>
        <v>2.4086016569007525</v>
      </c>
    </row>
    <row r="19" spans="2:19">
      <c r="B19" s="2">
        <v>7.2</v>
      </c>
      <c r="C19" s="2">
        <f t="shared" si="1"/>
        <v>2.5793667863849152</v>
      </c>
      <c r="D19" s="2">
        <f t="shared" si="2"/>
        <v>3.3730346502340676</v>
      </c>
      <c r="E19" s="2">
        <f t="shared" si="0"/>
        <v>3.3730346502340676</v>
      </c>
    </row>
    <row r="20" spans="2:19">
      <c r="B20" s="2">
        <v>8.1999999999999993</v>
      </c>
      <c r="C20" s="2">
        <f t="shared" si="1"/>
        <v>2.5940730556679772</v>
      </c>
      <c r="D20" s="2">
        <f t="shared" si="2"/>
        <v>3.5348036123477491</v>
      </c>
      <c r="E20" s="2">
        <f t="shared" si="0"/>
        <v>3.5348036123477491</v>
      </c>
    </row>
    <row r="21" spans="2:19">
      <c r="B21" s="2">
        <v>9.1999999999999993</v>
      </c>
      <c r="C21" s="2">
        <f t="shared" si="1"/>
        <v>2.5222889914100248</v>
      </c>
      <c r="D21" s="2">
        <f t="shared" si="2"/>
        <v>2.7451789055102731</v>
      </c>
      <c r="E21" s="2">
        <f t="shared" si="0"/>
        <v>2.7451789055102731</v>
      </c>
    </row>
    <row r="22" spans="2:19">
      <c r="B22" s="2">
        <v>10.199999999999999</v>
      </c>
      <c r="C22" s="2">
        <f t="shared" si="1"/>
        <v>2.4300125312406458</v>
      </c>
      <c r="D22" s="2">
        <f t="shared" si="2"/>
        <v>1.7301378436471033</v>
      </c>
      <c r="E22" s="2">
        <f t="shared" si="0"/>
        <v>1.7301378436471033</v>
      </c>
    </row>
    <row r="23" spans="2:19">
      <c r="B23" s="2">
        <v>11.2</v>
      </c>
      <c r="C23" s="2">
        <f t="shared" si="1"/>
        <v>2.4020822270848683</v>
      </c>
      <c r="D23" s="2">
        <f t="shared" si="2"/>
        <v>1.4229044979335512</v>
      </c>
      <c r="E23" s="2">
        <f t="shared" si="0"/>
        <v>1.4229044979335512</v>
      </c>
    </row>
    <row r="24" spans="2:19">
      <c r="B24" s="2">
        <v>12.2</v>
      </c>
      <c r="C24" s="2">
        <f t="shared" si="1"/>
        <v>2.4641770717763172</v>
      </c>
      <c r="D24" s="2">
        <f t="shared" si="2"/>
        <v>2.1059477895394889</v>
      </c>
      <c r="E24" s="2">
        <f t="shared" si="0"/>
        <v>2.1059477895394889</v>
      </c>
      <c r="Q24" s="6"/>
      <c r="R24" s="10" t="s">
        <v>280</v>
      </c>
      <c r="S24" s="30" t="s">
        <v>284</v>
      </c>
    </row>
    <row r="25" spans="2:19">
      <c r="B25" s="2">
        <v>13.2</v>
      </c>
      <c r="C25" s="2">
        <f t="shared" si="1"/>
        <v>2.5592073514707221</v>
      </c>
      <c r="D25" s="2">
        <f t="shared" si="2"/>
        <v>3.151280866177943</v>
      </c>
      <c r="E25" s="2">
        <f t="shared" si="0"/>
        <v>3.151280866177943</v>
      </c>
    </row>
    <row r="26" spans="2:19">
      <c r="B26" s="2">
        <v>14.2</v>
      </c>
      <c r="C26" s="2">
        <f t="shared" si="1"/>
        <v>2.5998026652716364</v>
      </c>
      <c r="D26" s="2">
        <f t="shared" si="2"/>
        <v>3.5978293179880003</v>
      </c>
      <c r="E26" s="2">
        <f t="shared" si="0"/>
        <v>3.5978293179880003</v>
      </c>
      <c r="N26" s="2" t="s">
        <v>249</v>
      </c>
    </row>
    <row r="27" spans="2:19">
      <c r="B27" s="2">
        <v>15.2</v>
      </c>
      <c r="C27" s="2">
        <f t="shared" si="1"/>
        <v>2.5486398688853802</v>
      </c>
      <c r="D27" s="2">
        <f t="shared" si="2"/>
        <v>3.0350385577391821</v>
      </c>
      <c r="E27" s="2">
        <f t="shared" si="0"/>
        <v>3.0350385577391821</v>
      </c>
    </row>
    <row r="28" spans="2:19">
      <c r="B28" s="2">
        <v>16.2</v>
      </c>
      <c r="C28" s="2">
        <f t="shared" si="1"/>
        <v>2.4527578013601534</v>
      </c>
      <c r="D28" s="2">
        <f t="shared" si="2"/>
        <v>1.9803358149616876</v>
      </c>
      <c r="E28" s="2">
        <f t="shared" si="0"/>
        <v>1.9803358149616876</v>
      </c>
      <c r="N28" s="6" t="s">
        <v>285</v>
      </c>
    </row>
    <row r="29" spans="2:19">
      <c r="B29" s="2">
        <v>17.2</v>
      </c>
      <c r="C29" s="2">
        <f t="shared" si="1"/>
        <v>2.4003099933958403</v>
      </c>
      <c r="D29" s="2">
        <f t="shared" si="2"/>
        <v>1.4034099273542431</v>
      </c>
      <c r="E29" s="2">
        <f t="shared" si="0"/>
        <v>1.4034099273542431</v>
      </c>
      <c r="G29" s="6" t="s">
        <v>65</v>
      </c>
      <c r="N29" s="2" t="s">
        <v>251</v>
      </c>
    </row>
    <row r="30" spans="2:19">
      <c r="B30" s="2">
        <v>18.2</v>
      </c>
      <c r="C30" s="2">
        <f t="shared" si="1"/>
        <v>2.4395167177593717</v>
      </c>
      <c r="D30" s="2">
        <f t="shared" si="2"/>
        <v>1.8346838953530891</v>
      </c>
      <c r="E30" s="2">
        <f t="shared" si="0"/>
        <v>1.8346838953530891</v>
      </c>
      <c r="G30" s="12" t="s">
        <v>64</v>
      </c>
      <c r="H30" s="12">
        <f>H3</f>
        <v>5</v>
      </c>
      <c r="I30" s="12" t="s">
        <v>17</v>
      </c>
      <c r="J30" s="13" t="str">
        <f>TRIM(G30)&amp;"   "&amp;IF(H30&gt;0,"+","")&amp;TRIM(H30)&amp;" "&amp;TRIM(I30)</f>
        <v>V+:   +5 V</v>
      </c>
      <c r="N30" s="2" t="s">
        <v>252</v>
      </c>
    </row>
    <row r="31" spans="2:19">
      <c r="B31" s="2">
        <v>19.2</v>
      </c>
      <c r="C31" s="2">
        <f t="shared" si="1"/>
        <v>2.5343314928819893</v>
      </c>
      <c r="D31" s="2">
        <f t="shared" si="2"/>
        <v>2.8776464217018827</v>
      </c>
      <c r="E31" s="2">
        <f t="shared" si="0"/>
        <v>2.8776464217018827</v>
      </c>
      <c r="G31" s="12" t="s">
        <v>66</v>
      </c>
      <c r="H31" s="12">
        <f>H4</f>
        <v>0</v>
      </c>
      <c r="I31" s="12" t="s">
        <v>17</v>
      </c>
      <c r="J31" s="13" t="str">
        <f t="shared" ref="J31:J32" si="3">TRIM(G31)&amp;"   "&amp;IF(H31&gt;0,"+","")&amp;TRIM(H31)&amp;" "&amp;TRIM(I31)</f>
        <v>V-:   0 V</v>
      </c>
      <c r="N31" s="2" t="s">
        <v>253</v>
      </c>
    </row>
    <row r="32" spans="2:19">
      <c r="B32" s="2">
        <v>20.2</v>
      </c>
      <c r="C32" s="2">
        <f t="shared" si="1"/>
        <v>2.5975820517766977</v>
      </c>
      <c r="D32" s="2">
        <f t="shared" si="2"/>
        <v>3.5734025695436742</v>
      </c>
      <c r="E32" s="2">
        <f t="shared" si="0"/>
        <v>3.5734025695436742</v>
      </c>
      <c r="G32" s="12" t="s">
        <v>29</v>
      </c>
      <c r="H32" s="12">
        <f>H9</f>
        <v>-2.5</v>
      </c>
      <c r="I32" s="12" t="s">
        <v>17</v>
      </c>
      <c r="J32" s="13" t="str">
        <f t="shared" si="3"/>
        <v>Vin:   -2.5 V</v>
      </c>
    </row>
    <row r="33" spans="2:10">
      <c r="B33" s="2">
        <v>21.2</v>
      </c>
      <c r="C33" s="2">
        <f t="shared" si="1"/>
        <v>2.571116122290598</v>
      </c>
      <c r="D33" s="2">
        <f t="shared" si="2"/>
        <v>3.2822773451965785</v>
      </c>
      <c r="E33" s="2">
        <f t="shared" si="0"/>
        <v>3.2822773451965785</v>
      </c>
      <c r="G33" s="12" t="s">
        <v>69</v>
      </c>
      <c r="H33" s="12">
        <f>C4</f>
        <v>2.5</v>
      </c>
      <c r="I33" s="12" t="s">
        <v>17</v>
      </c>
      <c r="J33" s="13" t="str">
        <f>TRIM(G33)&amp;"   "&amp;TRIM(H33)&amp;" "&amp;TRIM(I33)</f>
        <v>Vb:   2.5 V</v>
      </c>
    </row>
    <row r="34" spans="2:10">
      <c r="B34" s="2">
        <v>22.2</v>
      </c>
      <c r="C34" s="2">
        <f t="shared" si="1"/>
        <v>2.4792663579393239</v>
      </c>
      <c r="D34" s="2">
        <f t="shared" si="2"/>
        <v>2.2719299373325632</v>
      </c>
      <c r="E34" s="2">
        <f t="shared" si="0"/>
        <v>2.2719299373325632</v>
      </c>
      <c r="G34" s="12" t="s">
        <v>67</v>
      </c>
      <c r="H34" s="12">
        <f>C2</f>
        <v>1</v>
      </c>
      <c r="I34" s="12" t="s">
        <v>16</v>
      </c>
      <c r="J34" s="13" t="str">
        <f>TRIM(G34)&amp;"   "&amp;TRIM(H34)&amp;" "&amp;TRIM(I34)</f>
        <v>R1:   1 K</v>
      </c>
    </row>
    <row r="35" spans="2:10">
      <c r="B35" s="2">
        <v>23.2</v>
      </c>
      <c r="C35" s="2">
        <f t="shared" si="1"/>
        <v>2.4064790084805461</v>
      </c>
      <c r="D35" s="2">
        <f t="shared" si="2"/>
        <v>1.4712690932860069</v>
      </c>
      <c r="E35" s="2">
        <f t="shared" si="0"/>
        <v>1.4712690932860069</v>
      </c>
      <c r="G35" s="12" t="s">
        <v>68</v>
      </c>
      <c r="H35" s="12">
        <f>C3</f>
        <v>10</v>
      </c>
      <c r="I35" s="12" t="s">
        <v>16</v>
      </c>
      <c r="J35" s="13" t="str">
        <f>TRIM(G35)&amp;"   "&amp;TRIM(H35)&amp;" "&amp;TRIM(I35)</f>
        <v>RF:   10 K</v>
      </c>
    </row>
  </sheetData>
  <hyperlinks>
    <hyperlink ref="S24" r:id="rId1" xr:uid="{E325DF4E-EF98-4056-BC79-D38C5CE7ABD3}"/>
  </hyperlinks>
  <pageMargins left="0.7" right="0.7" top="0.75" bottom="0.75" header="0.3" footer="0.3"/>
  <pageSetup orientation="portrait" r:id="rId2"/>
  <drawing r:id="rId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770B50-83C0-4E82-B054-42C91AA741B1}">
  <sheetPr codeName="Sheet10"/>
  <dimension ref="B1:L35"/>
  <sheetViews>
    <sheetView zoomScale="85" zoomScaleNormal="85"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46</v>
      </c>
    </row>
    <row r="2" spans="2:12" ht="15.75" thickBot="1">
      <c r="B2" s="2" t="s">
        <v>12</v>
      </c>
      <c r="C2" s="3">
        <v>1</v>
      </c>
      <c r="D2" s="2" t="s">
        <v>16</v>
      </c>
      <c r="G2" s="6" t="s">
        <v>63</v>
      </c>
      <c r="J2" s="6" t="s">
        <v>36</v>
      </c>
    </row>
    <row r="3" spans="2:12" ht="15.75" thickBot="1">
      <c r="B3" s="2" t="s">
        <v>15</v>
      </c>
      <c r="C3" s="3">
        <f>(C6-1)*C2</f>
        <v>5.9999999999999991</v>
      </c>
      <c r="D3" s="2" t="s">
        <v>16</v>
      </c>
      <c r="G3" s="2" t="s">
        <v>24</v>
      </c>
      <c r="H3" s="4">
        <v>-0.15</v>
      </c>
      <c r="I3" s="2" t="s">
        <v>17</v>
      </c>
      <c r="J3" s="2" t="s">
        <v>9</v>
      </c>
      <c r="K3" s="4">
        <v>12</v>
      </c>
      <c r="L3" s="2" t="s">
        <v>18</v>
      </c>
    </row>
    <row r="4" spans="2:12" ht="15.75" thickBot="1">
      <c r="B4" s="2" t="s">
        <v>11</v>
      </c>
      <c r="C4" s="3">
        <f>C5/(1-C6)</f>
        <v>-0.37500000000000006</v>
      </c>
      <c r="D4" s="2" t="s">
        <v>17</v>
      </c>
      <c r="G4" s="2" t="s">
        <v>25</v>
      </c>
      <c r="H4" s="4">
        <v>0.15</v>
      </c>
      <c r="I4" s="2" t="s">
        <v>17</v>
      </c>
      <c r="J4" s="2" t="s">
        <v>10</v>
      </c>
      <c r="K4" s="5">
        <v>-12</v>
      </c>
      <c r="L4" s="2" t="s">
        <v>19</v>
      </c>
    </row>
    <row r="5" spans="2:12" ht="15.75" thickBot="1">
      <c r="B5" s="2" t="s">
        <v>0</v>
      </c>
      <c r="C5" s="3">
        <f>H6-C6*H4</f>
        <v>2.25</v>
      </c>
      <c r="D5" s="2" t="s">
        <v>17</v>
      </c>
      <c r="G5" s="2" t="s">
        <v>74</v>
      </c>
      <c r="H5" s="4">
        <v>1.2</v>
      </c>
      <c r="I5" s="2" t="s">
        <v>17</v>
      </c>
      <c r="J5" s="2" t="s">
        <v>31</v>
      </c>
      <c r="K5" s="4">
        <v>1.3</v>
      </c>
      <c r="L5" s="2" t="s">
        <v>32</v>
      </c>
    </row>
    <row r="6" spans="2:12" ht="15.75" thickBot="1">
      <c r="B6" s="2" t="s">
        <v>1</v>
      </c>
      <c r="C6" s="3">
        <f>(H6-H5)/(H4-H3)</f>
        <v>6.9999999999999991</v>
      </c>
      <c r="D6" s="2" t="s">
        <v>39</v>
      </c>
      <c r="G6" s="2" t="s">
        <v>75</v>
      </c>
      <c r="H6" s="4">
        <v>3.3</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0</v>
      </c>
      <c r="D10" s="2">
        <f>$C$6*C10+(1-$C$6)*$C$4</f>
        <v>2.25</v>
      </c>
      <c r="E10" s="2">
        <f t="shared" ref="E10:E35" si="0">IF(D10&gt;($K$3-$K$5),($K$3-$K$5),IF(D10&lt;($K$4+$K$5),($K$4+$K$5),D10))</f>
        <v>2.25</v>
      </c>
      <c r="J10" s="6" t="s">
        <v>29</v>
      </c>
      <c r="K10" s="4">
        <v>-3.5</v>
      </c>
      <c r="L10" s="2" t="s">
        <v>17</v>
      </c>
    </row>
    <row r="11" spans="2:12">
      <c r="B11" s="2">
        <v>0.1</v>
      </c>
      <c r="C11" s="2">
        <f t="shared" ref="C11:C35" si="1">AVERAGE($H$3:$H$4)+SIN($B11)*($H$4-$H$3)/2</f>
        <v>1.4975012497024223E-2</v>
      </c>
      <c r="D11" s="2">
        <f t="shared" ref="D11:D35" si="2">$C$6*C11+(1-$C$6)*$C$4</f>
        <v>2.3548250874791696</v>
      </c>
      <c r="E11" s="2">
        <f t="shared" si="0"/>
        <v>2.3548250874791696</v>
      </c>
      <c r="J11" s="6" t="s">
        <v>34</v>
      </c>
      <c r="K11" s="3">
        <f>IF($C$6*K10+(1-$C$6)*$C$4&gt;($K$3-$K$5),($K$3-$K$5),IF($C$6*K10+(1-$C$6)*$C$4&lt;($K$4+$K$5),($K$4+$K$5),$C$6*K10+(1-$C$6)*$C$4))</f>
        <v>-10.7</v>
      </c>
      <c r="L11" s="2" t="s">
        <v>17</v>
      </c>
    </row>
    <row r="12" spans="2:12">
      <c r="B12" s="2">
        <v>0.2</v>
      </c>
      <c r="C12" s="2">
        <f t="shared" si="1"/>
        <v>2.980039961925918E-2</v>
      </c>
      <c r="D12" s="2">
        <f t="shared" si="2"/>
        <v>2.4586027973348141</v>
      </c>
      <c r="E12" s="2">
        <f t="shared" si="0"/>
        <v>2.4586027973348141</v>
      </c>
    </row>
    <row r="13" spans="2:12">
      <c r="B13" s="2">
        <v>1.2</v>
      </c>
      <c r="C13" s="2">
        <f t="shared" si="1"/>
        <v>0.13980586289508393</v>
      </c>
      <c r="D13" s="2">
        <f t="shared" si="2"/>
        <v>3.2286410402655874</v>
      </c>
      <c r="E13" s="2">
        <f t="shared" si="0"/>
        <v>3.2286410402655874</v>
      </c>
    </row>
    <row r="14" spans="2:12">
      <c r="B14" s="2">
        <v>2.2000000000000002</v>
      </c>
      <c r="C14" s="2">
        <f t="shared" si="1"/>
        <v>0.1212744605729385</v>
      </c>
      <c r="D14" s="2">
        <f t="shared" si="2"/>
        <v>3.0989212240105695</v>
      </c>
      <c r="E14" s="2">
        <f t="shared" si="0"/>
        <v>3.0989212240105695</v>
      </c>
    </row>
    <row r="15" spans="2:12">
      <c r="B15" s="2">
        <v>3.2</v>
      </c>
      <c r="C15" s="2">
        <f t="shared" si="1"/>
        <v>-8.7561215141370129E-3</v>
      </c>
      <c r="D15" s="2">
        <f t="shared" si="2"/>
        <v>2.1887071494010408</v>
      </c>
      <c r="E15" s="2">
        <f t="shared" si="0"/>
        <v>2.1887071494010408</v>
      </c>
    </row>
    <row r="16" spans="2:12">
      <c r="B16" s="2">
        <v>4.2</v>
      </c>
      <c r="C16" s="2">
        <f t="shared" si="1"/>
        <v>-0.13073636586203821</v>
      </c>
      <c r="D16" s="2">
        <f t="shared" si="2"/>
        <v>1.3348454389657327</v>
      </c>
      <c r="E16" s="2">
        <f t="shared" si="0"/>
        <v>1.3348454389657327</v>
      </c>
    </row>
    <row r="17" spans="2:5">
      <c r="B17" s="2">
        <v>5.2</v>
      </c>
      <c r="C17" s="2">
        <f t="shared" si="1"/>
        <v>-0.13251819835802298</v>
      </c>
      <c r="D17" s="2">
        <f t="shared" si="2"/>
        <v>1.3223726114938392</v>
      </c>
      <c r="E17" s="2">
        <f t="shared" si="0"/>
        <v>1.3223726114938392</v>
      </c>
    </row>
    <row r="18" spans="2:5">
      <c r="B18" s="2">
        <v>6.2</v>
      </c>
      <c r="C18" s="2">
        <f t="shared" si="1"/>
        <v>-1.2463410422624459E-2</v>
      </c>
      <c r="D18" s="2">
        <f t="shared" si="2"/>
        <v>2.1627561270416287</v>
      </c>
      <c r="E18" s="2">
        <f t="shared" si="0"/>
        <v>2.1627561270416287</v>
      </c>
    </row>
    <row r="19" spans="2:5">
      <c r="B19" s="2">
        <v>7.2</v>
      </c>
      <c r="C19" s="2">
        <f t="shared" si="1"/>
        <v>0.11905017957737296</v>
      </c>
      <c r="D19" s="2">
        <f t="shared" si="2"/>
        <v>3.0833512570416106</v>
      </c>
      <c r="E19" s="2">
        <f t="shared" si="0"/>
        <v>3.0833512570416106</v>
      </c>
    </row>
    <row r="20" spans="2:5">
      <c r="B20" s="2">
        <v>8.1999999999999993</v>
      </c>
      <c r="C20" s="2">
        <f t="shared" si="1"/>
        <v>0.14110958350196595</v>
      </c>
      <c r="D20" s="2">
        <f t="shared" si="2"/>
        <v>3.2377670845137616</v>
      </c>
      <c r="E20" s="2">
        <f t="shared" si="0"/>
        <v>3.2377670845137616</v>
      </c>
    </row>
    <row r="21" spans="2:5">
      <c r="B21" s="2">
        <v>9.1999999999999993</v>
      </c>
      <c r="C21" s="2">
        <f t="shared" si="1"/>
        <v>3.3433487115037144E-2</v>
      </c>
      <c r="D21" s="2">
        <f t="shared" si="2"/>
        <v>2.4840344098052598</v>
      </c>
      <c r="E21" s="2">
        <f t="shared" si="0"/>
        <v>2.4840344098052598</v>
      </c>
    </row>
    <row r="22" spans="2:5">
      <c r="B22" s="2">
        <v>10.199999999999999</v>
      </c>
      <c r="C22" s="2">
        <f t="shared" si="1"/>
        <v>-0.10498120313903135</v>
      </c>
      <c r="D22" s="2">
        <f t="shared" si="2"/>
        <v>1.5151315780267807</v>
      </c>
      <c r="E22" s="2">
        <f t="shared" si="0"/>
        <v>1.5151315780267807</v>
      </c>
    </row>
    <row r="23" spans="2:5">
      <c r="B23" s="2">
        <v>11.2</v>
      </c>
      <c r="C23" s="2">
        <f t="shared" si="1"/>
        <v>-0.14687665937269762</v>
      </c>
      <c r="D23" s="2">
        <f t="shared" si="2"/>
        <v>1.2218633843911169</v>
      </c>
      <c r="E23" s="2">
        <f t="shared" si="0"/>
        <v>1.2218633843911169</v>
      </c>
    </row>
    <row r="24" spans="2:5">
      <c r="B24" s="2">
        <v>12.2</v>
      </c>
      <c r="C24" s="2">
        <f t="shared" si="1"/>
        <v>-5.3734392335524302E-2</v>
      </c>
      <c r="D24" s="2">
        <f t="shared" si="2"/>
        <v>1.8738592536513299</v>
      </c>
      <c r="E24" s="2">
        <f t="shared" si="0"/>
        <v>1.8738592536513299</v>
      </c>
    </row>
    <row r="25" spans="2:5">
      <c r="B25" s="2">
        <v>13.2</v>
      </c>
      <c r="C25" s="2">
        <f t="shared" si="1"/>
        <v>8.8811027206083457E-2</v>
      </c>
      <c r="D25" s="2">
        <f t="shared" si="2"/>
        <v>2.871677190442584</v>
      </c>
      <c r="E25" s="2">
        <f t="shared" si="0"/>
        <v>2.871677190442584</v>
      </c>
    </row>
    <row r="26" spans="2:5">
      <c r="B26" s="2">
        <v>14.2</v>
      </c>
      <c r="C26" s="2">
        <f t="shared" si="1"/>
        <v>0.14970399790745426</v>
      </c>
      <c r="D26" s="2">
        <f t="shared" si="2"/>
        <v>3.2979279853521799</v>
      </c>
      <c r="E26" s="2">
        <f t="shared" si="0"/>
        <v>3.2979279853521799</v>
      </c>
    </row>
    <row r="27" spans="2:5">
      <c r="B27" s="2">
        <v>15.2</v>
      </c>
      <c r="C27" s="2">
        <f t="shared" si="1"/>
        <v>7.295980332806995E-2</v>
      </c>
      <c r="D27" s="2">
        <f t="shared" si="2"/>
        <v>2.7607186232964898</v>
      </c>
      <c r="E27" s="2">
        <f t="shared" si="0"/>
        <v>2.7607186232964898</v>
      </c>
    </row>
    <row r="28" spans="2:5">
      <c r="B28" s="2">
        <v>16.2</v>
      </c>
      <c r="C28" s="2">
        <f t="shared" si="1"/>
        <v>-7.0863297959769922E-2</v>
      </c>
      <c r="D28" s="2">
        <f t="shared" si="2"/>
        <v>1.7539569142816105</v>
      </c>
      <c r="E28" s="2">
        <f t="shared" si="0"/>
        <v>1.7539569142816105</v>
      </c>
    </row>
    <row r="29" spans="2:5">
      <c r="B29" s="2">
        <v>17.2</v>
      </c>
      <c r="C29" s="2">
        <f t="shared" si="1"/>
        <v>-0.14953500990623941</v>
      </c>
      <c r="D29" s="2">
        <f t="shared" si="2"/>
        <v>1.2032549306563243</v>
      </c>
      <c r="E29" s="2">
        <f t="shared" si="0"/>
        <v>1.2032549306563243</v>
      </c>
    </row>
    <row r="30" spans="2:5">
      <c r="B30" s="2">
        <v>18.2</v>
      </c>
      <c r="C30" s="2">
        <f t="shared" si="1"/>
        <v>-9.0724923360942608E-2</v>
      </c>
      <c r="D30" s="2">
        <f t="shared" si="2"/>
        <v>1.6149255364734019</v>
      </c>
      <c r="E30" s="2">
        <f t="shared" si="0"/>
        <v>1.6149255364734019</v>
      </c>
    </row>
    <row r="31" spans="2:5">
      <c r="B31" s="2">
        <v>19.2</v>
      </c>
      <c r="C31" s="2">
        <f t="shared" si="1"/>
        <v>5.1497239322984306E-2</v>
      </c>
      <c r="D31" s="2">
        <f t="shared" si="2"/>
        <v>2.6104806752608902</v>
      </c>
      <c r="E31" s="2">
        <f t="shared" si="0"/>
        <v>2.6104806752608902</v>
      </c>
    </row>
    <row r="32" spans="2:5">
      <c r="B32" s="2">
        <v>20.2</v>
      </c>
      <c r="C32" s="2">
        <f t="shared" si="1"/>
        <v>0.14637307766504631</v>
      </c>
      <c r="D32" s="2">
        <f t="shared" si="2"/>
        <v>3.274611543655324</v>
      </c>
      <c r="E32" s="2">
        <f t="shared" si="0"/>
        <v>3.274611543655324</v>
      </c>
    </row>
    <row r="33" spans="2:5">
      <c r="B33" s="2">
        <v>21.2</v>
      </c>
      <c r="C33" s="2">
        <f t="shared" si="1"/>
        <v>0.10667418343589735</v>
      </c>
      <c r="D33" s="2">
        <f t="shared" si="2"/>
        <v>2.9967192840512813</v>
      </c>
      <c r="E33" s="2">
        <f t="shared" si="0"/>
        <v>2.9967192840512813</v>
      </c>
    </row>
    <row r="34" spans="2:5">
      <c r="B34" s="2">
        <v>22.2</v>
      </c>
      <c r="C34" s="2">
        <f t="shared" si="1"/>
        <v>-3.1100463091013816E-2</v>
      </c>
      <c r="D34" s="2">
        <f t="shared" si="2"/>
        <v>2.0322967583629032</v>
      </c>
      <c r="E34" s="2">
        <f t="shared" si="0"/>
        <v>2.0322967583629032</v>
      </c>
    </row>
    <row r="35" spans="2:5">
      <c r="B35" s="2">
        <v>23.2</v>
      </c>
      <c r="C35" s="2">
        <f t="shared" si="1"/>
        <v>-0.14028148727918083</v>
      </c>
      <c r="D35" s="2">
        <f t="shared" si="2"/>
        <v>1.2680295890457343</v>
      </c>
      <c r="E35" s="2">
        <f t="shared" si="0"/>
        <v>1.2680295890457343</v>
      </c>
    </row>
  </sheetData>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1D6DE-0CEC-487C-A61B-AB1DC2AC91E2}">
  <sheetPr codeName="Sheet11"/>
  <dimension ref="B1:R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18" ht="47.25" thickBot="1">
      <c r="B1" s="1" t="s">
        <v>47</v>
      </c>
    </row>
    <row r="2" spans="2:18" ht="15.75" thickBot="1">
      <c r="B2" s="2" t="s">
        <v>12</v>
      </c>
      <c r="C2" s="4">
        <v>1</v>
      </c>
      <c r="D2" s="2" t="s">
        <v>16</v>
      </c>
      <c r="G2" s="6" t="s">
        <v>36</v>
      </c>
    </row>
    <row r="3" spans="2:18" ht="15.75" thickBot="1">
      <c r="B3" s="2" t="s">
        <v>13</v>
      </c>
      <c r="C3" s="4">
        <v>1</v>
      </c>
      <c r="D3" s="2" t="s">
        <v>16</v>
      </c>
      <c r="G3" s="2" t="s">
        <v>9</v>
      </c>
      <c r="H3" s="4">
        <v>12</v>
      </c>
      <c r="I3" s="2" t="s">
        <v>18</v>
      </c>
    </row>
    <row r="4" spans="2:18" ht="15.75" thickBot="1">
      <c r="B4" s="2" t="s">
        <v>14</v>
      </c>
      <c r="C4" s="4">
        <v>1</v>
      </c>
      <c r="D4" s="2" t="s">
        <v>16</v>
      </c>
      <c r="G4" s="2" t="s">
        <v>10</v>
      </c>
      <c r="H4" s="5">
        <v>-12</v>
      </c>
      <c r="I4" s="2" t="s">
        <v>19</v>
      </c>
    </row>
    <row r="5" spans="2:18" ht="15.75" thickBot="1">
      <c r="B5" s="2" t="s">
        <v>15</v>
      </c>
      <c r="C5" s="4">
        <v>1</v>
      </c>
      <c r="D5" s="2" t="s">
        <v>16</v>
      </c>
      <c r="G5" s="2" t="s">
        <v>31</v>
      </c>
      <c r="H5" s="4">
        <v>1.3</v>
      </c>
      <c r="I5" s="2" t="s">
        <v>32</v>
      </c>
    </row>
    <row r="6" spans="2:18" ht="15.75" thickBot="1">
      <c r="B6" s="2" t="s">
        <v>48</v>
      </c>
      <c r="C6" s="4">
        <v>1</v>
      </c>
      <c r="D6" s="2" t="s">
        <v>17</v>
      </c>
    </row>
    <row r="7" spans="2:18" ht="15.75" thickBot="1">
      <c r="B7" s="2" t="s">
        <v>1</v>
      </c>
      <c r="C7" s="3">
        <f>-C5/C2</f>
        <v>-1</v>
      </c>
      <c r="D7" s="2" t="s">
        <v>39</v>
      </c>
    </row>
    <row r="8" spans="2:18" ht="15.75" thickBot="1">
      <c r="B8" s="2" t="s">
        <v>51</v>
      </c>
      <c r="C8" s="4">
        <v>1</v>
      </c>
      <c r="D8" s="2" t="s">
        <v>52</v>
      </c>
    </row>
    <row r="9" spans="2:18" ht="15.75" thickBot="1">
      <c r="G9" s="6" t="s">
        <v>57</v>
      </c>
    </row>
    <row r="10" spans="2:18" ht="15.75" thickBot="1">
      <c r="E10" s="6" t="s">
        <v>30</v>
      </c>
      <c r="G10" s="6" t="s">
        <v>48</v>
      </c>
      <c r="H10" s="4">
        <v>5.7</v>
      </c>
      <c r="I10" s="2" t="s">
        <v>17</v>
      </c>
      <c r="R10" s="2" t="s">
        <v>246</v>
      </c>
    </row>
    <row r="11" spans="2:18" ht="15.75" thickBot="1">
      <c r="B11" s="7" t="s">
        <v>6</v>
      </c>
      <c r="C11" s="7" t="s">
        <v>50</v>
      </c>
      <c r="D11" s="7" t="s">
        <v>3</v>
      </c>
      <c r="E11" s="7" t="s">
        <v>3</v>
      </c>
      <c r="G11" s="6" t="s">
        <v>50</v>
      </c>
      <c r="H11" s="4">
        <v>7.8</v>
      </c>
      <c r="I11" s="2" t="s">
        <v>17</v>
      </c>
      <c r="R11" s="2" t="s">
        <v>247</v>
      </c>
    </row>
    <row r="12" spans="2:18">
      <c r="B12" s="2">
        <v>0</v>
      </c>
      <c r="C12" s="2">
        <f t="shared" ref="C12:C37" si="0">$C$8*SIN($B12)</f>
        <v>0</v>
      </c>
      <c r="D12" s="2">
        <f t="shared" ref="D12:D37" si="1">$C$7*C12+(1-$C$7)*($C$4/($C$3+$C$4))*$C$6</f>
        <v>1</v>
      </c>
      <c r="E12" s="2">
        <f t="shared" ref="E12:E37" si="2">IF(D12&gt;($H$3-$H$5),($H$3-$H$5),IF(D12&lt;($H$4+$H$5),($H$4+$H$5),D12))</f>
        <v>1</v>
      </c>
      <c r="G12" s="6" t="s">
        <v>34</v>
      </c>
      <c r="H12" s="3">
        <f>IF($C$7*H11+(1-$C$7)*($C$4/($C$3+$C$4))*$H$10&gt;($H$3-$H$5),($H$3-$H$5),IF($C$7*H11+(1-$C$7)*($C$4/($C$3+$C$4))*$H$10&lt;($H$4+$H$5),($H$4+$H$5),$C$7*H11+(1-$C$7)*($C$4/($C$3+$C$4))*$H$10))</f>
        <v>-2.0999999999999996</v>
      </c>
      <c r="I12" s="2" t="s">
        <v>17</v>
      </c>
    </row>
    <row r="13" spans="2:18">
      <c r="B13" s="2">
        <v>0.1</v>
      </c>
      <c r="C13" s="2">
        <f t="shared" si="0"/>
        <v>9.9833416646828155E-2</v>
      </c>
      <c r="D13" s="2">
        <f t="shared" si="1"/>
        <v>0.90016658335317179</v>
      </c>
      <c r="E13" s="2">
        <f t="shared" si="2"/>
        <v>0.90016658335317179</v>
      </c>
    </row>
    <row r="14" spans="2:18">
      <c r="B14" s="2">
        <v>0.2</v>
      </c>
      <c r="C14" s="2">
        <f t="shared" si="0"/>
        <v>0.19866933079506122</v>
      </c>
      <c r="D14" s="2">
        <f t="shared" si="1"/>
        <v>0.80133066920493878</v>
      </c>
      <c r="E14" s="2">
        <f t="shared" si="2"/>
        <v>0.80133066920493878</v>
      </c>
    </row>
    <row r="15" spans="2:18">
      <c r="B15" s="2">
        <v>1.2</v>
      </c>
      <c r="C15" s="2">
        <f t="shared" si="0"/>
        <v>0.93203908596722629</v>
      </c>
      <c r="D15" s="2">
        <f t="shared" si="1"/>
        <v>6.7960914032773712E-2</v>
      </c>
      <c r="E15" s="2">
        <f t="shared" si="2"/>
        <v>6.7960914032773712E-2</v>
      </c>
    </row>
    <row r="16" spans="2:18">
      <c r="B16" s="2">
        <v>2.2000000000000002</v>
      </c>
      <c r="C16" s="2">
        <f t="shared" si="0"/>
        <v>0.80849640381959009</v>
      </c>
      <c r="D16" s="2">
        <f t="shared" si="1"/>
        <v>0.19150359618040991</v>
      </c>
      <c r="E16" s="2">
        <f t="shared" si="2"/>
        <v>0.19150359618040991</v>
      </c>
    </row>
    <row r="17" spans="2:10">
      <c r="B17" s="2">
        <v>3.2</v>
      </c>
      <c r="C17" s="2">
        <f t="shared" si="0"/>
        <v>-5.8374143427580086E-2</v>
      </c>
      <c r="D17" s="2">
        <f t="shared" si="1"/>
        <v>1.0583741434275802</v>
      </c>
      <c r="E17" s="2">
        <f t="shared" si="2"/>
        <v>1.0583741434275802</v>
      </c>
    </row>
    <row r="18" spans="2:10">
      <c r="B18" s="2">
        <v>4.2</v>
      </c>
      <c r="C18" s="2">
        <f t="shared" si="0"/>
        <v>-0.87157577241358819</v>
      </c>
      <c r="D18" s="2">
        <f t="shared" si="1"/>
        <v>1.8715757724135882</v>
      </c>
      <c r="E18" s="2">
        <f t="shared" si="2"/>
        <v>1.8715757724135882</v>
      </c>
    </row>
    <row r="19" spans="2:10">
      <c r="B19" s="2">
        <v>5.2</v>
      </c>
      <c r="C19" s="2">
        <f t="shared" si="0"/>
        <v>-0.88345465572015314</v>
      </c>
      <c r="D19" s="2">
        <f t="shared" si="1"/>
        <v>1.8834546557201532</v>
      </c>
      <c r="E19" s="2">
        <f t="shared" si="2"/>
        <v>1.8834546557201532</v>
      </c>
    </row>
    <row r="20" spans="2:10">
      <c r="B20" s="2">
        <v>6.2</v>
      </c>
      <c r="C20" s="2">
        <f t="shared" si="0"/>
        <v>-8.3089402817496397E-2</v>
      </c>
      <c r="D20" s="2">
        <f t="shared" si="1"/>
        <v>1.0830894028174964</v>
      </c>
      <c r="E20" s="2">
        <f t="shared" si="2"/>
        <v>1.0830894028174964</v>
      </c>
    </row>
    <row r="21" spans="2:10">
      <c r="B21" s="2">
        <v>7.2</v>
      </c>
      <c r="C21" s="2">
        <f t="shared" si="0"/>
        <v>0.79366786384915311</v>
      </c>
      <c r="D21" s="2">
        <f t="shared" si="1"/>
        <v>0.20633213615084689</v>
      </c>
      <c r="E21" s="2">
        <f t="shared" si="2"/>
        <v>0.20633213615084689</v>
      </c>
    </row>
    <row r="22" spans="2:10">
      <c r="B22" s="2">
        <v>8.1999999999999993</v>
      </c>
      <c r="C22" s="2">
        <f t="shared" si="0"/>
        <v>0.94073055667977312</v>
      </c>
      <c r="D22" s="2">
        <f t="shared" si="1"/>
        <v>5.9269443320226878E-2</v>
      </c>
      <c r="E22" s="2">
        <f t="shared" si="2"/>
        <v>5.9269443320226878E-2</v>
      </c>
    </row>
    <row r="23" spans="2:10">
      <c r="B23" s="2">
        <v>9.1999999999999993</v>
      </c>
      <c r="C23" s="2">
        <f t="shared" si="0"/>
        <v>0.22288991410024764</v>
      </c>
      <c r="D23" s="2">
        <f t="shared" si="1"/>
        <v>0.77711008589975239</v>
      </c>
      <c r="E23" s="2">
        <f t="shared" si="2"/>
        <v>0.77711008589975239</v>
      </c>
    </row>
    <row r="24" spans="2:10">
      <c r="B24" s="2">
        <v>10.199999999999999</v>
      </c>
      <c r="C24" s="2">
        <f t="shared" si="0"/>
        <v>-0.69987468759354232</v>
      </c>
      <c r="D24" s="2">
        <f t="shared" si="1"/>
        <v>1.6998746875935424</v>
      </c>
      <c r="E24" s="2">
        <f t="shared" si="2"/>
        <v>1.6998746875935424</v>
      </c>
    </row>
    <row r="25" spans="2:10">
      <c r="B25" s="2">
        <v>11.2</v>
      </c>
      <c r="C25" s="2">
        <f t="shared" si="0"/>
        <v>-0.9791777291513174</v>
      </c>
      <c r="D25" s="2">
        <f t="shared" si="1"/>
        <v>1.9791777291513175</v>
      </c>
      <c r="E25" s="2">
        <f t="shared" si="2"/>
        <v>1.9791777291513175</v>
      </c>
    </row>
    <row r="26" spans="2:10">
      <c r="B26" s="2">
        <v>12.2</v>
      </c>
      <c r="C26" s="2">
        <f t="shared" si="0"/>
        <v>-0.35822928223682871</v>
      </c>
      <c r="D26" s="2">
        <f t="shared" si="1"/>
        <v>1.3582292822368287</v>
      </c>
      <c r="E26" s="2">
        <f t="shared" si="2"/>
        <v>1.3582292822368287</v>
      </c>
    </row>
    <row r="27" spans="2:10">
      <c r="B27" s="2">
        <v>13.2</v>
      </c>
      <c r="C27" s="2">
        <f t="shared" si="0"/>
        <v>0.59207351470722303</v>
      </c>
      <c r="D27" s="2">
        <f t="shared" si="1"/>
        <v>0.40792648529277697</v>
      </c>
      <c r="E27" s="2">
        <f t="shared" si="2"/>
        <v>0.40792648529277697</v>
      </c>
    </row>
    <row r="28" spans="2:10">
      <c r="B28" s="2">
        <v>14.2</v>
      </c>
      <c r="C28" s="2">
        <f t="shared" si="0"/>
        <v>0.99802665271636171</v>
      </c>
      <c r="D28" s="2">
        <f t="shared" si="1"/>
        <v>1.9733472836382937E-3</v>
      </c>
      <c r="E28" s="2">
        <f t="shared" si="2"/>
        <v>1.9733472836382937E-3</v>
      </c>
    </row>
    <row r="29" spans="2:10">
      <c r="B29" s="2">
        <v>15.2</v>
      </c>
      <c r="C29" s="2">
        <f t="shared" si="0"/>
        <v>0.48639868885379967</v>
      </c>
      <c r="D29" s="2">
        <f t="shared" si="1"/>
        <v>0.51360131114620033</v>
      </c>
      <c r="E29" s="2">
        <f t="shared" si="2"/>
        <v>0.51360131114620033</v>
      </c>
      <c r="G29" s="6" t="s">
        <v>65</v>
      </c>
    </row>
    <row r="30" spans="2:10">
      <c r="B30" s="2">
        <v>16.2</v>
      </c>
      <c r="C30" s="2">
        <f t="shared" si="0"/>
        <v>-0.47242198639846616</v>
      </c>
      <c r="D30" s="2">
        <f t="shared" si="1"/>
        <v>1.4724219863984662</v>
      </c>
      <c r="E30" s="2">
        <f t="shared" si="2"/>
        <v>1.4724219863984662</v>
      </c>
      <c r="G30" s="12" t="s">
        <v>64</v>
      </c>
      <c r="H30" s="12">
        <f>H3</f>
        <v>12</v>
      </c>
      <c r="I30" s="12" t="s">
        <v>17</v>
      </c>
      <c r="J30" s="13" t="str">
        <f>TRIM(G30)&amp;"   "&amp;IF(H30&gt;0,"+","")&amp;TRIM(H30)&amp;" "&amp;TRIM(I30)</f>
        <v>V+:   +12 V</v>
      </c>
    </row>
    <row r="31" spans="2:10">
      <c r="B31" s="2">
        <v>17.2</v>
      </c>
      <c r="C31" s="2">
        <f t="shared" si="0"/>
        <v>-0.99690006604159609</v>
      </c>
      <c r="D31" s="2">
        <f t="shared" si="1"/>
        <v>1.9969000660415961</v>
      </c>
      <c r="E31" s="2">
        <f t="shared" si="2"/>
        <v>1.9969000660415961</v>
      </c>
      <c r="G31" s="12" t="s">
        <v>66</v>
      </c>
      <c r="H31" s="12">
        <f>H4</f>
        <v>-12</v>
      </c>
      <c r="I31" s="12" t="s">
        <v>17</v>
      </c>
      <c r="J31" s="13" t="str">
        <f t="shared" ref="J31:J33" si="3">TRIM(G31)&amp;"   "&amp;IF(H31&gt;0,"+","")&amp;TRIM(H31)&amp;" "&amp;TRIM(I31)</f>
        <v>V-:   -12 V</v>
      </c>
    </row>
    <row r="32" spans="2:10">
      <c r="B32" s="2">
        <v>18.2</v>
      </c>
      <c r="C32" s="2">
        <f t="shared" si="0"/>
        <v>-0.60483282240628411</v>
      </c>
      <c r="D32" s="2">
        <f t="shared" si="1"/>
        <v>1.604832822406284</v>
      </c>
      <c r="E32" s="2">
        <f t="shared" si="2"/>
        <v>1.604832822406284</v>
      </c>
      <c r="G32" s="12" t="s">
        <v>70</v>
      </c>
      <c r="H32" s="12">
        <f>H11</f>
        <v>7.8</v>
      </c>
      <c r="I32" s="12" t="s">
        <v>17</v>
      </c>
      <c r="J32" s="13" t="str">
        <f t="shared" si="3"/>
        <v>Vin,1:   +7.8 V</v>
      </c>
    </row>
    <row r="33" spans="2:10">
      <c r="B33" s="2">
        <v>19.2</v>
      </c>
      <c r="C33" s="2">
        <f t="shared" si="0"/>
        <v>0.34331492881989539</v>
      </c>
      <c r="D33" s="2">
        <f t="shared" si="1"/>
        <v>0.65668507118010466</v>
      </c>
      <c r="E33" s="2">
        <f t="shared" si="2"/>
        <v>0.65668507118010466</v>
      </c>
      <c r="G33" s="12" t="s">
        <v>71</v>
      </c>
      <c r="H33" s="12">
        <f>H10</f>
        <v>5.7</v>
      </c>
      <c r="I33" s="12" t="s">
        <v>17</v>
      </c>
      <c r="J33" s="13" t="str">
        <f t="shared" si="3"/>
        <v>Vin,2:   +5.7 V</v>
      </c>
    </row>
    <row r="34" spans="2:10">
      <c r="B34" s="2">
        <v>20.2</v>
      </c>
      <c r="C34" s="2">
        <f t="shared" si="0"/>
        <v>0.97582051776697554</v>
      </c>
      <c r="D34" s="2">
        <f t="shared" si="1"/>
        <v>2.4179482233024463E-2</v>
      </c>
      <c r="E34" s="2">
        <f t="shared" si="2"/>
        <v>2.4179482233024463E-2</v>
      </c>
      <c r="G34" s="12" t="s">
        <v>67</v>
      </c>
      <c r="H34" s="12">
        <f>C2</f>
        <v>1</v>
      </c>
      <c r="I34" s="12" t="s">
        <v>16</v>
      </c>
      <c r="J34" s="13" t="str">
        <f>TRIM(G34)&amp;"   "&amp;TRIM(H34)&amp;" "&amp;TRIM(I34)</f>
        <v>R1:   1 K</v>
      </c>
    </row>
    <row r="35" spans="2:10">
      <c r="B35" s="2">
        <v>21.2</v>
      </c>
      <c r="C35" s="2">
        <f t="shared" si="0"/>
        <v>0.71116122290598238</v>
      </c>
      <c r="D35" s="2">
        <f t="shared" si="1"/>
        <v>0.28883877709401762</v>
      </c>
      <c r="E35" s="2">
        <f t="shared" si="2"/>
        <v>0.28883877709401762</v>
      </c>
      <c r="G35" s="12" t="s">
        <v>72</v>
      </c>
      <c r="H35" s="12">
        <f>C3</f>
        <v>1</v>
      </c>
      <c r="I35" s="12" t="s">
        <v>16</v>
      </c>
      <c r="J35" s="13" t="str">
        <f>TRIM(G35)&amp;"   "&amp;TRIM(H35)&amp;" "&amp;TRIM(I35)</f>
        <v>R2:   1 K</v>
      </c>
    </row>
    <row r="36" spans="2:10">
      <c r="B36" s="2">
        <v>22.2</v>
      </c>
      <c r="C36" s="2">
        <f t="shared" si="0"/>
        <v>-0.20733642060675878</v>
      </c>
      <c r="D36" s="2">
        <f t="shared" si="1"/>
        <v>1.2073364206067587</v>
      </c>
      <c r="E36" s="2">
        <f t="shared" si="2"/>
        <v>1.2073364206067587</v>
      </c>
      <c r="G36" s="12" t="s">
        <v>73</v>
      </c>
      <c r="H36" s="12">
        <f>C4</f>
        <v>1</v>
      </c>
      <c r="I36" s="12" t="s">
        <v>16</v>
      </c>
      <c r="J36" s="13" t="str">
        <f>TRIM(G36)&amp;"   "&amp;TRIM(H36)&amp;" "&amp;TRIM(I36)</f>
        <v>R3:   1 K</v>
      </c>
    </row>
    <row r="37" spans="2:10">
      <c r="B37" s="2">
        <v>23.2</v>
      </c>
      <c r="C37" s="2">
        <f t="shared" si="0"/>
        <v>-0.93520991519453889</v>
      </c>
      <c r="D37" s="2">
        <f t="shared" si="1"/>
        <v>1.9352099151945388</v>
      </c>
      <c r="E37" s="2">
        <f t="shared" si="2"/>
        <v>1.9352099151945388</v>
      </c>
      <c r="G37" s="12" t="s">
        <v>68</v>
      </c>
      <c r="H37" s="12">
        <f>C5</f>
        <v>1</v>
      </c>
      <c r="I37" s="12" t="s">
        <v>16</v>
      </c>
      <c r="J37" s="13" t="str">
        <f>TRIM(G37)&amp;"   "&amp;TRIM(H37)&amp;" "&amp;TRIM(I37)</f>
        <v>RF:   1 K</v>
      </c>
    </row>
    <row r="40" spans="2:10">
      <c r="B40" s="2" t="s">
        <v>49</v>
      </c>
    </row>
    <row r="41" spans="2:10">
      <c r="B41" s="7" t="s">
        <v>6</v>
      </c>
      <c r="C41" s="7" t="s">
        <v>7</v>
      </c>
    </row>
    <row r="42" spans="2:10">
      <c r="B42" s="2">
        <f>MIN($B$12:$B$37)</f>
        <v>0</v>
      </c>
      <c r="C42" s="2">
        <f>C6</f>
        <v>1</v>
      </c>
    </row>
    <row r="43" spans="2:10">
      <c r="B43" s="2">
        <f>MAX($B$12:$B$37)</f>
        <v>23.2</v>
      </c>
      <c r="C43" s="2">
        <f>C42</f>
        <v>1</v>
      </c>
    </row>
  </sheetData>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07C77D-8125-4732-A4CA-13A60D721A8C}">
  <sheetPr codeName="Sheet12"/>
  <dimension ref="B1:J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53</v>
      </c>
    </row>
    <row r="2" spans="2:9" ht="15.75" thickBot="1">
      <c r="B2" s="2" t="s">
        <v>12</v>
      </c>
      <c r="C2" s="4">
        <v>1</v>
      </c>
      <c r="D2" s="2" t="s">
        <v>16</v>
      </c>
      <c r="G2" s="6" t="s">
        <v>36</v>
      </c>
    </row>
    <row r="3" spans="2:9" ht="15.75" thickBot="1">
      <c r="B3" s="2" t="s">
        <v>13</v>
      </c>
      <c r="C3" s="4">
        <v>1</v>
      </c>
      <c r="D3" s="2" t="s">
        <v>16</v>
      </c>
      <c r="G3" s="2" t="s">
        <v>9</v>
      </c>
      <c r="H3" s="4">
        <v>9</v>
      </c>
      <c r="I3" s="2" t="s">
        <v>18</v>
      </c>
    </row>
    <row r="4" spans="2:9" ht="15.75" thickBot="1">
      <c r="B4" s="2" t="s">
        <v>15</v>
      </c>
      <c r="C4" s="4">
        <v>3</v>
      </c>
      <c r="D4" s="2" t="s">
        <v>16</v>
      </c>
      <c r="G4" s="2" t="s">
        <v>10</v>
      </c>
      <c r="H4" s="5">
        <v>-9</v>
      </c>
      <c r="I4" s="2" t="s">
        <v>19</v>
      </c>
    </row>
    <row r="5" spans="2:9" ht="15.75" thickBot="1">
      <c r="B5" s="2" t="s">
        <v>48</v>
      </c>
      <c r="C5" s="4">
        <v>2</v>
      </c>
      <c r="D5" s="2" t="s">
        <v>17</v>
      </c>
      <c r="G5" s="2" t="s">
        <v>31</v>
      </c>
      <c r="H5" s="4">
        <v>0.9</v>
      </c>
      <c r="I5" s="2" t="s">
        <v>32</v>
      </c>
    </row>
    <row r="6" spans="2:9" ht="15.75" thickBot="1">
      <c r="B6" s="2" t="s">
        <v>1</v>
      </c>
      <c r="C6" s="3">
        <f>-C4/C2</f>
        <v>-3</v>
      </c>
      <c r="D6" s="2" t="s">
        <v>39</v>
      </c>
    </row>
    <row r="7" spans="2:9" ht="15.75" thickBot="1">
      <c r="B7" s="2" t="s">
        <v>62</v>
      </c>
      <c r="C7" s="4">
        <v>1</v>
      </c>
      <c r="D7" s="2" t="s">
        <v>52</v>
      </c>
    </row>
    <row r="10" spans="2:9" ht="15.75" thickBot="1">
      <c r="E10" s="6" t="s">
        <v>30</v>
      </c>
      <c r="G10" s="6" t="s">
        <v>57</v>
      </c>
    </row>
    <row r="11" spans="2:9" ht="15.75" thickBot="1">
      <c r="B11" s="7" t="s">
        <v>6</v>
      </c>
      <c r="C11" s="7" t="s">
        <v>50</v>
      </c>
      <c r="D11" s="7" t="s">
        <v>3</v>
      </c>
      <c r="E11" s="7" t="s">
        <v>3</v>
      </c>
      <c r="G11" s="6" t="s">
        <v>58</v>
      </c>
      <c r="H11" s="4">
        <v>1.25</v>
      </c>
      <c r="I11" s="2" t="s">
        <v>17</v>
      </c>
    </row>
    <row r="12" spans="2:9" ht="15.75" thickBot="1">
      <c r="B12" s="2">
        <v>0</v>
      </c>
      <c r="C12" s="2">
        <f t="shared" ref="C12:C37" si="0">$C$7*SIN($B12)</f>
        <v>0</v>
      </c>
      <c r="D12" s="2">
        <f>-$C$4*(C12/$C$2+$C$5/$C$3)</f>
        <v>-6</v>
      </c>
      <c r="E12" s="2">
        <f t="shared" ref="E12:E37" si="1">IF(D12&gt;($H$3-$H$5),($H$3-$H$5),IF(D12&lt;($H$4+$H$5),($H$4+$H$5),D12))</f>
        <v>-6</v>
      </c>
      <c r="G12" s="6" t="s">
        <v>59</v>
      </c>
      <c r="H12" s="4">
        <v>1.25</v>
      </c>
      <c r="I12" s="2" t="s">
        <v>17</v>
      </c>
    </row>
    <row r="13" spans="2:9">
      <c r="B13" s="2">
        <v>0.1</v>
      </c>
      <c r="C13" s="2">
        <f t="shared" si="0"/>
        <v>9.9833416646828155E-2</v>
      </c>
      <c r="D13" s="2">
        <f t="shared" ref="D13:D37" si="2">-$C$4*(C13/$C$2+$C$5/$C$3)</f>
        <v>-6.2995002499404844</v>
      </c>
      <c r="E13" s="2">
        <f t="shared" si="1"/>
        <v>-6.2995002499404844</v>
      </c>
      <c r="G13" s="6" t="s">
        <v>34</v>
      </c>
      <c r="H13" s="3">
        <f>IF(-$C$4*(H11/$C$2+$H$12/$C$3)&gt;($H$3-$H$5),($H$3-$H$5),IF(-$C$4*(H11/$C$2+$H$12/$C$3)&lt;($H$4+$H$5),($H$4+$H$5),-$C$4*(H11/$C$2+$H$12/$C$3)))</f>
        <v>-7.5</v>
      </c>
      <c r="I13" s="2" t="s">
        <v>17</v>
      </c>
    </row>
    <row r="14" spans="2:9">
      <c r="B14" s="2">
        <v>0.2</v>
      </c>
      <c r="C14" s="2">
        <f t="shared" si="0"/>
        <v>0.19866933079506122</v>
      </c>
      <c r="D14" s="2">
        <f t="shared" si="2"/>
        <v>-6.596007992385184</v>
      </c>
      <c r="E14" s="2">
        <f t="shared" si="1"/>
        <v>-6.596007992385184</v>
      </c>
    </row>
    <row r="15" spans="2:9">
      <c r="B15" s="2">
        <v>1.2</v>
      </c>
      <c r="C15" s="2">
        <f t="shared" si="0"/>
        <v>0.93203908596722629</v>
      </c>
      <c r="D15" s="2">
        <f t="shared" si="2"/>
        <v>-8.7961172579016793</v>
      </c>
      <c r="E15" s="2">
        <f t="shared" si="1"/>
        <v>-8.1</v>
      </c>
    </row>
    <row r="16" spans="2:9">
      <c r="B16" s="2">
        <v>2.2000000000000002</v>
      </c>
      <c r="C16" s="2">
        <f t="shared" si="0"/>
        <v>0.80849640381959009</v>
      </c>
      <c r="D16" s="2">
        <f t="shared" si="2"/>
        <v>-8.4254892114587712</v>
      </c>
      <c r="E16" s="2">
        <f t="shared" si="1"/>
        <v>-8.1</v>
      </c>
    </row>
    <row r="17" spans="2:10">
      <c r="B17" s="2">
        <v>3.2</v>
      </c>
      <c r="C17" s="2">
        <f t="shared" si="0"/>
        <v>-5.8374143427580086E-2</v>
      </c>
      <c r="D17" s="2">
        <f t="shared" si="2"/>
        <v>-5.824877569717259</v>
      </c>
      <c r="E17" s="2">
        <f t="shared" si="1"/>
        <v>-5.824877569717259</v>
      </c>
    </row>
    <row r="18" spans="2:10">
      <c r="B18" s="2">
        <v>4.2</v>
      </c>
      <c r="C18" s="2">
        <f t="shared" si="0"/>
        <v>-0.87157577241358819</v>
      </c>
      <c r="D18" s="2">
        <f t="shared" si="2"/>
        <v>-3.3852726827592354</v>
      </c>
      <c r="E18" s="2">
        <f t="shared" si="1"/>
        <v>-3.3852726827592354</v>
      </c>
    </row>
    <row r="19" spans="2:10">
      <c r="B19" s="2">
        <v>5.2</v>
      </c>
      <c r="C19" s="2">
        <f t="shared" si="0"/>
        <v>-0.88345465572015314</v>
      </c>
      <c r="D19" s="2">
        <f t="shared" si="2"/>
        <v>-3.3496360328395403</v>
      </c>
      <c r="E19" s="2">
        <f t="shared" si="1"/>
        <v>-3.3496360328395403</v>
      </c>
    </row>
    <row r="20" spans="2:10">
      <c r="B20" s="2">
        <v>6.2</v>
      </c>
      <c r="C20" s="2">
        <f t="shared" si="0"/>
        <v>-8.3089402817496397E-2</v>
      </c>
      <c r="D20" s="2">
        <f t="shared" si="2"/>
        <v>-5.7507317915475102</v>
      </c>
      <c r="E20" s="2">
        <f t="shared" si="1"/>
        <v>-5.7507317915475102</v>
      </c>
    </row>
    <row r="21" spans="2:10">
      <c r="B21" s="2">
        <v>7.2</v>
      </c>
      <c r="C21" s="2">
        <f t="shared" si="0"/>
        <v>0.79366786384915311</v>
      </c>
      <c r="D21" s="2">
        <f t="shared" si="2"/>
        <v>-8.3810035915474597</v>
      </c>
      <c r="E21" s="2">
        <f t="shared" si="1"/>
        <v>-8.1</v>
      </c>
    </row>
    <row r="22" spans="2:10">
      <c r="B22" s="2">
        <v>8.1999999999999993</v>
      </c>
      <c r="C22" s="2">
        <f t="shared" si="0"/>
        <v>0.94073055667977312</v>
      </c>
      <c r="D22" s="2">
        <f t="shared" si="2"/>
        <v>-8.8221916700393201</v>
      </c>
      <c r="E22" s="2">
        <f t="shared" si="1"/>
        <v>-8.1</v>
      </c>
    </row>
    <row r="23" spans="2:10">
      <c r="B23" s="2">
        <v>9.1999999999999993</v>
      </c>
      <c r="C23" s="2">
        <f t="shared" si="0"/>
        <v>0.22288991410024764</v>
      </c>
      <c r="D23" s="2">
        <f t="shared" si="2"/>
        <v>-6.6686697423007431</v>
      </c>
      <c r="E23" s="2">
        <f t="shared" si="1"/>
        <v>-6.6686697423007431</v>
      </c>
    </row>
    <row r="24" spans="2:10">
      <c r="B24" s="2">
        <v>10.199999999999999</v>
      </c>
      <c r="C24" s="2">
        <f t="shared" si="0"/>
        <v>-0.69987468759354232</v>
      </c>
      <c r="D24" s="2">
        <f t="shared" si="2"/>
        <v>-3.9003759372193727</v>
      </c>
      <c r="E24" s="2">
        <f t="shared" si="1"/>
        <v>-3.9003759372193727</v>
      </c>
    </row>
    <row r="25" spans="2:10">
      <c r="B25" s="2">
        <v>11.2</v>
      </c>
      <c r="C25" s="2">
        <f t="shared" si="0"/>
        <v>-0.9791777291513174</v>
      </c>
      <c r="D25" s="2">
        <f t="shared" si="2"/>
        <v>-3.0624668125460475</v>
      </c>
      <c r="E25" s="2">
        <f t="shared" si="1"/>
        <v>-3.0624668125460475</v>
      </c>
    </row>
    <row r="26" spans="2:10">
      <c r="B26" s="2">
        <v>12.2</v>
      </c>
      <c r="C26" s="2">
        <f t="shared" si="0"/>
        <v>-0.35822928223682871</v>
      </c>
      <c r="D26" s="2">
        <f t="shared" si="2"/>
        <v>-4.9253121532895143</v>
      </c>
      <c r="E26" s="2">
        <f t="shared" si="1"/>
        <v>-4.9253121532895143</v>
      </c>
    </row>
    <row r="27" spans="2:10">
      <c r="B27" s="2">
        <v>13.2</v>
      </c>
      <c r="C27" s="2">
        <f t="shared" si="0"/>
        <v>0.59207351470722303</v>
      </c>
      <c r="D27" s="2">
        <f t="shared" si="2"/>
        <v>-7.776220544121669</v>
      </c>
      <c r="E27" s="2">
        <f t="shared" si="1"/>
        <v>-7.776220544121669</v>
      </c>
    </row>
    <row r="28" spans="2:10">
      <c r="B28" s="2">
        <v>14.2</v>
      </c>
      <c r="C28" s="2">
        <f t="shared" si="0"/>
        <v>0.99802665271636171</v>
      </c>
      <c r="D28" s="2">
        <f t="shared" si="2"/>
        <v>-8.9940799581490847</v>
      </c>
      <c r="E28" s="2">
        <f t="shared" si="1"/>
        <v>-8.1</v>
      </c>
    </row>
    <row r="29" spans="2:10">
      <c r="B29" s="2">
        <v>15.2</v>
      </c>
      <c r="C29" s="2">
        <f t="shared" si="0"/>
        <v>0.48639868885379967</v>
      </c>
      <c r="D29" s="2">
        <f t="shared" si="2"/>
        <v>-7.4591960665613986</v>
      </c>
      <c r="E29" s="2">
        <f t="shared" si="1"/>
        <v>-7.4591960665613986</v>
      </c>
      <c r="G29" s="6" t="s">
        <v>65</v>
      </c>
    </row>
    <row r="30" spans="2:10">
      <c r="B30" s="2">
        <v>16.2</v>
      </c>
      <c r="C30" s="2">
        <f t="shared" si="0"/>
        <v>-0.47242198639846616</v>
      </c>
      <c r="D30" s="2">
        <f t="shared" si="2"/>
        <v>-4.5827340408046009</v>
      </c>
      <c r="E30" s="2">
        <f t="shared" si="1"/>
        <v>-4.5827340408046009</v>
      </c>
      <c r="G30" s="12" t="s">
        <v>64</v>
      </c>
      <c r="H30" s="12">
        <f>H3</f>
        <v>9</v>
      </c>
      <c r="I30" s="12" t="s">
        <v>17</v>
      </c>
      <c r="J30" s="13" t="str">
        <f>TRIM(G30)&amp;"   "&amp;IF(H30&gt;0,"+","")&amp;TRIM(H30)&amp;" "&amp;TRIM(I30)</f>
        <v>V+:   +9 V</v>
      </c>
    </row>
    <row r="31" spans="2:10">
      <c r="B31" s="2">
        <v>17.2</v>
      </c>
      <c r="C31" s="2">
        <f t="shared" si="0"/>
        <v>-0.99690006604159609</v>
      </c>
      <c r="D31" s="2">
        <f t="shared" si="2"/>
        <v>-3.009299801875212</v>
      </c>
      <c r="E31" s="2">
        <f t="shared" si="1"/>
        <v>-3.009299801875212</v>
      </c>
      <c r="G31" s="12" t="s">
        <v>66</v>
      </c>
      <c r="H31" s="12">
        <f>H4</f>
        <v>-9</v>
      </c>
      <c r="I31" s="12" t="s">
        <v>17</v>
      </c>
      <c r="J31" s="13" t="str">
        <f t="shared" ref="J31:J33" si="3">TRIM(G31)&amp;"   "&amp;IF(H31&gt;0,"+","")&amp;TRIM(H31)&amp;" "&amp;TRIM(I31)</f>
        <v>V-:   -9 V</v>
      </c>
    </row>
    <row r="32" spans="2:10">
      <c r="B32" s="2">
        <v>18.2</v>
      </c>
      <c r="C32" s="2">
        <f t="shared" si="0"/>
        <v>-0.60483282240628411</v>
      </c>
      <c r="D32" s="2">
        <f t="shared" si="2"/>
        <v>-4.1855015327811476</v>
      </c>
      <c r="E32" s="2">
        <f t="shared" si="1"/>
        <v>-4.1855015327811476</v>
      </c>
      <c r="G32" s="12" t="s">
        <v>58</v>
      </c>
      <c r="H32" s="12">
        <f>H11</f>
        <v>1.25</v>
      </c>
      <c r="I32" s="12" t="s">
        <v>17</v>
      </c>
      <c r="J32" s="13" t="str">
        <f t="shared" si="3"/>
        <v>V1:   +1.25 V</v>
      </c>
    </row>
    <row r="33" spans="2:10">
      <c r="B33" s="2">
        <v>19.2</v>
      </c>
      <c r="C33" s="2">
        <f t="shared" si="0"/>
        <v>0.34331492881989539</v>
      </c>
      <c r="D33" s="2">
        <f t="shared" si="2"/>
        <v>-7.0299447864596871</v>
      </c>
      <c r="E33" s="2">
        <f t="shared" si="1"/>
        <v>-7.0299447864596871</v>
      </c>
      <c r="G33" s="12" t="s">
        <v>59</v>
      </c>
      <c r="H33" s="12">
        <f>H12</f>
        <v>1.25</v>
      </c>
      <c r="I33" s="12" t="s">
        <v>17</v>
      </c>
      <c r="J33" s="13" t="str">
        <f t="shared" si="3"/>
        <v>V2:   +1.25 V</v>
      </c>
    </row>
    <row r="34" spans="2:10">
      <c r="B34" s="2">
        <v>20.2</v>
      </c>
      <c r="C34" s="2">
        <f t="shared" si="0"/>
        <v>0.97582051776697554</v>
      </c>
      <c r="D34" s="2">
        <f t="shared" si="2"/>
        <v>-8.9274615533009261</v>
      </c>
      <c r="E34" s="2">
        <f t="shared" si="1"/>
        <v>-8.1</v>
      </c>
      <c r="G34" s="12" t="s">
        <v>67</v>
      </c>
      <c r="H34" s="12">
        <f>C2</f>
        <v>1</v>
      </c>
      <c r="I34" s="12" t="s">
        <v>16</v>
      </c>
      <c r="J34" s="13" t="str">
        <f>TRIM(G34)&amp;"   "&amp;TRIM(H34)&amp;" "&amp;TRIM(I34)</f>
        <v>R1:   1 K</v>
      </c>
    </row>
    <row r="35" spans="2:10">
      <c r="B35" s="2">
        <v>21.2</v>
      </c>
      <c r="C35" s="2">
        <f t="shared" si="0"/>
        <v>0.71116122290598238</v>
      </c>
      <c r="D35" s="2">
        <f t="shared" si="2"/>
        <v>-8.1334836687179468</v>
      </c>
      <c r="E35" s="2">
        <f t="shared" si="1"/>
        <v>-8.1</v>
      </c>
      <c r="G35" s="12" t="s">
        <v>72</v>
      </c>
      <c r="H35" s="12">
        <f>C3</f>
        <v>1</v>
      </c>
      <c r="I35" s="12" t="s">
        <v>16</v>
      </c>
      <c r="J35" s="13" t="str">
        <f>TRIM(G35)&amp;"   "&amp;TRIM(H35)&amp;" "&amp;TRIM(I35)</f>
        <v>R2:   1 K</v>
      </c>
    </row>
    <row r="36" spans="2:10">
      <c r="B36" s="2">
        <v>22.2</v>
      </c>
      <c r="C36" s="2">
        <f t="shared" si="0"/>
        <v>-0.20733642060675878</v>
      </c>
      <c r="D36" s="2">
        <f t="shared" si="2"/>
        <v>-5.3779907381797241</v>
      </c>
      <c r="E36" s="2">
        <f t="shared" si="1"/>
        <v>-5.3779907381797241</v>
      </c>
      <c r="G36" s="12" t="s">
        <v>68</v>
      </c>
      <c r="H36" s="12">
        <f>C4</f>
        <v>3</v>
      </c>
      <c r="I36" s="12" t="s">
        <v>16</v>
      </c>
      <c r="J36" s="13" t="str">
        <f>TRIM(G36)&amp;"   "&amp;TRIM(H36)&amp;" "&amp;TRIM(I36)</f>
        <v>RF:   3 K</v>
      </c>
    </row>
    <row r="37" spans="2:10">
      <c r="B37" s="2">
        <v>23.2</v>
      </c>
      <c r="C37" s="2">
        <f t="shared" si="0"/>
        <v>-0.93520991519453889</v>
      </c>
      <c r="D37" s="2">
        <f t="shared" si="2"/>
        <v>-3.1943702544163837</v>
      </c>
      <c r="E37" s="2">
        <f t="shared" si="1"/>
        <v>-3.1943702544163837</v>
      </c>
      <c r="G37" s="12"/>
      <c r="H37" s="12"/>
      <c r="I37" s="12"/>
    </row>
    <row r="40" spans="2:10">
      <c r="B40" s="2" t="s">
        <v>49</v>
      </c>
    </row>
    <row r="41" spans="2:10">
      <c r="B41" s="7" t="s">
        <v>6</v>
      </c>
      <c r="C41" s="7" t="s">
        <v>48</v>
      </c>
    </row>
    <row r="42" spans="2:10">
      <c r="B42" s="2">
        <f>MIN($B$12:$B$37)</f>
        <v>0</v>
      </c>
      <c r="C42" s="2">
        <f>C5</f>
        <v>2</v>
      </c>
    </row>
    <row r="43" spans="2:10">
      <c r="B43" s="2">
        <f>MAX($B$12:$B$37)</f>
        <v>23.2</v>
      </c>
      <c r="C43" s="2">
        <f>C42</f>
        <v>2</v>
      </c>
    </row>
  </sheetData>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37D08-A436-4F56-A911-BD7EEB1A0529}">
  <dimension ref="B1:J43"/>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226</v>
      </c>
    </row>
    <row r="2" spans="2:9" ht="15.75" thickBot="1">
      <c r="B2" s="2" t="s">
        <v>12</v>
      </c>
      <c r="C2" s="4">
        <v>1</v>
      </c>
      <c r="D2" s="2" t="s">
        <v>16</v>
      </c>
      <c r="G2" s="6" t="s">
        <v>36</v>
      </c>
    </row>
    <row r="3" spans="2:9" ht="15.75" thickBot="1">
      <c r="B3" s="2" t="s">
        <v>13</v>
      </c>
      <c r="C3" s="4">
        <v>1</v>
      </c>
      <c r="D3" s="2" t="s">
        <v>16</v>
      </c>
      <c r="G3" s="2" t="s">
        <v>9</v>
      </c>
      <c r="H3" s="4">
        <v>5</v>
      </c>
      <c r="I3" s="2" t="s">
        <v>18</v>
      </c>
    </row>
    <row r="4" spans="2:9" ht="15.75" thickBot="1">
      <c r="B4" s="2" t="s">
        <v>14</v>
      </c>
      <c r="C4" s="4">
        <v>1</v>
      </c>
      <c r="D4" s="2" t="s">
        <v>16</v>
      </c>
      <c r="G4" s="2" t="s">
        <v>10</v>
      </c>
      <c r="H4" s="5">
        <v>-5</v>
      </c>
      <c r="I4" s="2" t="s">
        <v>19</v>
      </c>
    </row>
    <row r="5" spans="2:9" ht="15.75" thickBot="1">
      <c r="B5" s="2" t="s">
        <v>15</v>
      </c>
      <c r="C5" s="4">
        <v>1</v>
      </c>
      <c r="D5" s="2" t="s">
        <v>16</v>
      </c>
      <c r="G5" s="2" t="s">
        <v>31</v>
      </c>
      <c r="H5" s="4">
        <v>1.3</v>
      </c>
      <c r="I5" s="2" t="s">
        <v>32</v>
      </c>
    </row>
    <row r="6" spans="2:9" ht="15.75" thickBot="1">
      <c r="B6" s="2" t="s">
        <v>48</v>
      </c>
      <c r="C6" s="4">
        <v>0.2</v>
      </c>
      <c r="D6" s="2" t="s">
        <v>17</v>
      </c>
    </row>
    <row r="7" spans="2:9" ht="15.75" thickBot="1">
      <c r="B7" s="2" t="s">
        <v>78</v>
      </c>
      <c r="C7" s="4">
        <v>0.4</v>
      </c>
      <c r="D7" s="2" t="s">
        <v>17</v>
      </c>
    </row>
    <row r="8" spans="2:9" ht="15.75" thickBot="1">
      <c r="B8" s="2" t="s">
        <v>1</v>
      </c>
      <c r="C8" s="3">
        <f>-C5/C2</f>
        <v>-1</v>
      </c>
      <c r="D8" s="2" t="s">
        <v>39</v>
      </c>
    </row>
    <row r="9" spans="2:9" ht="15.75" thickBot="1">
      <c r="B9" s="2" t="s">
        <v>62</v>
      </c>
      <c r="C9" s="4">
        <v>1</v>
      </c>
      <c r="D9" s="2" t="s">
        <v>52</v>
      </c>
    </row>
    <row r="10" spans="2:9" ht="15.75" thickBot="1">
      <c r="E10" s="6" t="s">
        <v>30</v>
      </c>
      <c r="G10" s="6" t="s">
        <v>57</v>
      </c>
    </row>
    <row r="11" spans="2:9" ht="15.75" thickBot="1">
      <c r="B11" s="7" t="s">
        <v>6</v>
      </c>
      <c r="C11" s="7" t="s">
        <v>50</v>
      </c>
      <c r="D11" s="7" t="s">
        <v>3</v>
      </c>
      <c r="E11" s="7" t="s">
        <v>3</v>
      </c>
      <c r="G11" s="6" t="s">
        <v>58</v>
      </c>
      <c r="H11" s="4">
        <v>1.44</v>
      </c>
      <c r="I11" s="2" t="s">
        <v>17</v>
      </c>
    </row>
    <row r="12" spans="2:9" ht="15.75" thickBot="1">
      <c r="B12" s="2">
        <v>0</v>
      </c>
      <c r="C12" s="2">
        <f t="shared" ref="C12:C37" si="0">$C$9*SIN($B12)</f>
        <v>0</v>
      </c>
      <c r="D12" s="2">
        <f>-$C$5*(C12/$C$2+$C$6/$C$3+$C$7/$C$4)</f>
        <v>-0.60000000000000009</v>
      </c>
      <c r="E12" s="2">
        <f t="shared" ref="E12:E37" si="1">IF(D12&gt;($H$3-$H$5),($H$3-$H$5),IF(D12&lt;($H$4+$H$5),($H$4+$H$5),D12))</f>
        <v>-0.60000000000000009</v>
      </c>
      <c r="G12" s="6" t="s">
        <v>59</v>
      </c>
      <c r="H12" s="4">
        <v>2.5099999999999998</v>
      </c>
      <c r="I12" s="2" t="s">
        <v>17</v>
      </c>
    </row>
    <row r="13" spans="2:9" ht="15.75" thickBot="1">
      <c r="B13" s="2">
        <v>0.1</v>
      </c>
      <c r="C13" s="2">
        <f t="shared" si="0"/>
        <v>9.9833416646828155E-2</v>
      </c>
      <c r="D13" s="2">
        <f t="shared" ref="D13:D37" si="2">-$C$5*(C13/$C$2+$C$6/$C$3+$C$7/$C$4)</f>
        <v>-0.69983341664682819</v>
      </c>
      <c r="E13" s="2">
        <f t="shared" si="1"/>
        <v>-0.69983341664682819</v>
      </c>
      <c r="G13" s="6" t="s">
        <v>77</v>
      </c>
      <c r="H13" s="4">
        <v>1.67</v>
      </c>
      <c r="I13" s="2" t="s">
        <v>17</v>
      </c>
    </row>
    <row r="14" spans="2:9">
      <c r="B14" s="2">
        <v>0.2</v>
      </c>
      <c r="C14" s="2">
        <f t="shared" si="0"/>
        <v>0.19866933079506122</v>
      </c>
      <c r="D14" s="2">
        <f t="shared" si="2"/>
        <v>-0.79866933079506119</v>
      </c>
      <c r="E14" s="2">
        <f t="shared" si="1"/>
        <v>-0.79866933079506119</v>
      </c>
      <c r="G14" s="6" t="s">
        <v>34</v>
      </c>
      <c r="H14" s="3">
        <f>IF(-$C$5*(H11/$C$2+$H$12/$C$3+$H$13/$C$4)&gt;($H$3-$H$5),($H$3-$H$5),IF(-$C$5*(H11/$C$2+$H$12/$C$3+$H$13/$C$4)&lt;($H$4+$H$5),($H$4+$H$5),-$C$5*(H11/$C$2+$H$12/$C$3+$H$13/$C$4)))</f>
        <v>-3.7</v>
      </c>
      <c r="I14" s="2" t="s">
        <v>17</v>
      </c>
    </row>
    <row r="15" spans="2:9">
      <c r="B15" s="2">
        <v>1.2</v>
      </c>
      <c r="C15" s="2">
        <f t="shared" si="0"/>
        <v>0.93203908596722629</v>
      </c>
      <c r="D15" s="2">
        <f t="shared" si="2"/>
        <v>-1.5320390859672264</v>
      </c>
      <c r="E15" s="2">
        <f t="shared" si="1"/>
        <v>-1.5320390859672264</v>
      </c>
    </row>
    <row r="16" spans="2:9">
      <c r="B16" s="2">
        <v>2.2000000000000002</v>
      </c>
      <c r="C16" s="2">
        <f t="shared" si="0"/>
        <v>0.80849640381959009</v>
      </c>
      <c r="D16" s="2">
        <f t="shared" si="2"/>
        <v>-1.4084964038195902</v>
      </c>
      <c r="E16" s="2">
        <f t="shared" si="1"/>
        <v>-1.4084964038195902</v>
      </c>
    </row>
    <row r="17" spans="2:10">
      <c r="B17" s="2">
        <v>3.2</v>
      </c>
      <c r="C17" s="2">
        <f t="shared" si="0"/>
        <v>-5.8374143427580086E-2</v>
      </c>
      <c r="D17" s="2">
        <f t="shared" si="2"/>
        <v>-0.54162585657241991</v>
      </c>
      <c r="E17" s="2">
        <f t="shared" si="1"/>
        <v>-0.54162585657241991</v>
      </c>
    </row>
    <row r="18" spans="2:10">
      <c r="B18" s="2">
        <v>4.2</v>
      </c>
      <c r="C18" s="2">
        <f t="shared" si="0"/>
        <v>-0.87157577241358819</v>
      </c>
      <c r="D18" s="2">
        <f t="shared" si="2"/>
        <v>0.27157577241358821</v>
      </c>
      <c r="E18" s="2">
        <f t="shared" si="1"/>
        <v>0.27157577241358821</v>
      </c>
    </row>
    <row r="19" spans="2:10">
      <c r="B19" s="2">
        <v>5.2</v>
      </c>
      <c r="C19" s="2">
        <f t="shared" si="0"/>
        <v>-0.88345465572015314</v>
      </c>
      <c r="D19" s="2">
        <f t="shared" si="2"/>
        <v>0.28345465572015305</v>
      </c>
      <c r="E19" s="2">
        <f t="shared" si="1"/>
        <v>0.28345465572015305</v>
      </c>
    </row>
    <row r="20" spans="2:10">
      <c r="B20" s="2">
        <v>6.2</v>
      </c>
      <c r="C20" s="2">
        <f t="shared" si="0"/>
        <v>-8.3089402817496397E-2</v>
      </c>
      <c r="D20" s="2">
        <f t="shared" si="2"/>
        <v>-0.51691059718250365</v>
      </c>
      <c r="E20" s="2">
        <f t="shared" si="1"/>
        <v>-0.51691059718250365</v>
      </c>
    </row>
    <row r="21" spans="2:10">
      <c r="B21" s="2">
        <v>7.2</v>
      </c>
      <c r="C21" s="2">
        <f t="shared" si="0"/>
        <v>0.79366786384915311</v>
      </c>
      <c r="D21" s="2">
        <f t="shared" si="2"/>
        <v>-1.3936678638491533</v>
      </c>
      <c r="E21" s="2">
        <f t="shared" si="1"/>
        <v>-1.3936678638491533</v>
      </c>
    </row>
    <row r="22" spans="2:10">
      <c r="B22" s="2">
        <v>8.1999999999999993</v>
      </c>
      <c r="C22" s="2">
        <f t="shared" si="0"/>
        <v>0.94073055667977312</v>
      </c>
      <c r="D22" s="2">
        <f t="shared" si="2"/>
        <v>-1.5407305566797733</v>
      </c>
      <c r="E22" s="2">
        <f t="shared" si="1"/>
        <v>-1.5407305566797733</v>
      </c>
    </row>
    <row r="23" spans="2:10">
      <c r="B23" s="2">
        <v>9.1999999999999993</v>
      </c>
      <c r="C23" s="2">
        <f t="shared" si="0"/>
        <v>0.22288991410024764</v>
      </c>
      <c r="D23" s="2">
        <f t="shared" si="2"/>
        <v>-0.8228899141002477</v>
      </c>
      <c r="E23" s="2">
        <f t="shared" si="1"/>
        <v>-0.8228899141002477</v>
      </c>
    </row>
    <row r="24" spans="2:10">
      <c r="B24" s="2">
        <v>10.199999999999999</v>
      </c>
      <c r="C24" s="2">
        <f t="shared" si="0"/>
        <v>-0.69987468759354232</v>
      </c>
      <c r="D24" s="2">
        <f t="shared" si="2"/>
        <v>9.9874687593542288E-2</v>
      </c>
      <c r="E24" s="2">
        <f t="shared" si="1"/>
        <v>9.9874687593542288E-2</v>
      </c>
    </row>
    <row r="25" spans="2:10">
      <c r="B25" s="2">
        <v>11.2</v>
      </c>
      <c r="C25" s="2">
        <f t="shared" si="0"/>
        <v>-0.9791777291513174</v>
      </c>
      <c r="D25" s="2">
        <f t="shared" si="2"/>
        <v>0.37917772915131731</v>
      </c>
      <c r="E25" s="2">
        <f t="shared" si="1"/>
        <v>0.37917772915131731</v>
      </c>
    </row>
    <row r="26" spans="2:10">
      <c r="B26" s="2">
        <v>12.2</v>
      </c>
      <c r="C26" s="2">
        <f t="shared" si="0"/>
        <v>-0.35822928223682871</v>
      </c>
      <c r="D26" s="2">
        <f t="shared" si="2"/>
        <v>-0.24177071776317133</v>
      </c>
      <c r="E26" s="2">
        <f t="shared" si="1"/>
        <v>-0.24177071776317133</v>
      </c>
    </row>
    <row r="27" spans="2:10">
      <c r="B27" s="2">
        <v>13.2</v>
      </c>
      <c r="C27" s="2">
        <f t="shared" si="0"/>
        <v>0.59207351470722303</v>
      </c>
      <c r="D27" s="2">
        <f t="shared" si="2"/>
        <v>-1.1920735147072232</v>
      </c>
      <c r="E27" s="2">
        <f t="shared" si="1"/>
        <v>-1.1920735147072232</v>
      </c>
    </row>
    <row r="28" spans="2:10">
      <c r="B28" s="2">
        <v>14.2</v>
      </c>
      <c r="C28" s="2">
        <f t="shared" si="0"/>
        <v>0.99802665271636171</v>
      </c>
      <c r="D28" s="2">
        <f t="shared" si="2"/>
        <v>-1.5980266527163618</v>
      </c>
      <c r="E28" s="2">
        <f t="shared" si="1"/>
        <v>-1.5980266527163618</v>
      </c>
    </row>
    <row r="29" spans="2:10">
      <c r="B29" s="2">
        <v>15.2</v>
      </c>
      <c r="C29" s="2">
        <f t="shared" si="0"/>
        <v>0.48639868885379967</v>
      </c>
      <c r="D29" s="2">
        <f t="shared" si="2"/>
        <v>-1.0863986888537998</v>
      </c>
      <c r="E29" s="2">
        <f t="shared" si="1"/>
        <v>-1.0863986888537998</v>
      </c>
    </row>
    <row r="30" spans="2:10">
      <c r="B30" s="2">
        <v>16.2</v>
      </c>
      <c r="C30" s="2">
        <f t="shared" si="0"/>
        <v>-0.47242198639846616</v>
      </c>
      <c r="D30" s="2">
        <f t="shared" si="2"/>
        <v>-0.12757801360153387</v>
      </c>
      <c r="E30" s="2">
        <f t="shared" si="1"/>
        <v>-0.12757801360153387</v>
      </c>
      <c r="G30" s="6" t="s">
        <v>65</v>
      </c>
    </row>
    <row r="31" spans="2:10">
      <c r="B31" s="2">
        <v>17.2</v>
      </c>
      <c r="C31" s="2">
        <f t="shared" si="0"/>
        <v>-0.99690006604159609</v>
      </c>
      <c r="D31" s="2">
        <f t="shared" si="2"/>
        <v>0.39690006604159611</v>
      </c>
      <c r="E31" s="2">
        <f t="shared" si="1"/>
        <v>0.39690006604159611</v>
      </c>
      <c r="G31" s="12" t="s">
        <v>64</v>
      </c>
      <c r="H31" s="12">
        <f>H3</f>
        <v>5</v>
      </c>
      <c r="I31" s="12" t="s">
        <v>17</v>
      </c>
      <c r="J31" s="13" t="str">
        <f>TRIM(G31)&amp;"   "&amp;IF(H31&gt;0,"+","")&amp;TRIM(H31)&amp;" "&amp;TRIM(I31)</f>
        <v>V+:   +5 V</v>
      </c>
    </row>
    <row r="32" spans="2:10">
      <c r="B32" s="2">
        <v>18.2</v>
      </c>
      <c r="C32" s="2">
        <f t="shared" si="0"/>
        <v>-0.60483282240628411</v>
      </c>
      <c r="D32" s="2">
        <f t="shared" si="2"/>
        <v>4.8328224062840763E-3</v>
      </c>
      <c r="E32" s="2">
        <f t="shared" si="1"/>
        <v>4.8328224062840763E-3</v>
      </c>
      <c r="G32" s="12" t="s">
        <v>66</v>
      </c>
      <c r="H32" s="12">
        <f>H4</f>
        <v>-5</v>
      </c>
      <c r="I32" s="12" t="s">
        <v>17</v>
      </c>
      <c r="J32" s="13" t="str">
        <f t="shared" ref="J32:J35" si="3">TRIM(G32)&amp;"   "&amp;IF(H32&gt;0,"+","")&amp;TRIM(H32)&amp;" "&amp;TRIM(I32)</f>
        <v>V-:   -5 V</v>
      </c>
    </row>
    <row r="33" spans="2:10">
      <c r="B33" s="2">
        <v>19.2</v>
      </c>
      <c r="C33" s="2">
        <f t="shared" si="0"/>
        <v>0.34331492881989539</v>
      </c>
      <c r="D33" s="2">
        <f t="shared" si="2"/>
        <v>-0.94331492881989543</v>
      </c>
      <c r="E33" s="2">
        <f t="shared" si="1"/>
        <v>-0.94331492881989543</v>
      </c>
      <c r="G33" s="12" t="s">
        <v>58</v>
      </c>
      <c r="H33" s="12">
        <f>H11</f>
        <v>1.44</v>
      </c>
      <c r="I33" s="12" t="s">
        <v>17</v>
      </c>
      <c r="J33" s="13" t="str">
        <f t="shared" si="3"/>
        <v>V1:   +1.44 V</v>
      </c>
    </row>
    <row r="34" spans="2:10">
      <c r="B34" s="2">
        <v>20.2</v>
      </c>
      <c r="C34" s="2">
        <f t="shared" si="0"/>
        <v>0.97582051776697554</v>
      </c>
      <c r="D34" s="2">
        <f t="shared" si="2"/>
        <v>-1.5758205177669757</v>
      </c>
      <c r="E34" s="2">
        <f t="shared" si="1"/>
        <v>-1.5758205177669757</v>
      </c>
      <c r="G34" s="12" t="s">
        <v>59</v>
      </c>
      <c r="H34" s="12">
        <f>H12</f>
        <v>2.5099999999999998</v>
      </c>
      <c r="I34" s="12" t="s">
        <v>17</v>
      </c>
      <c r="J34" s="13" t="str">
        <f t="shared" si="3"/>
        <v>V2:   +2.51 V</v>
      </c>
    </row>
    <row r="35" spans="2:10">
      <c r="B35" s="2">
        <v>21.2</v>
      </c>
      <c r="C35" s="2">
        <f t="shared" si="0"/>
        <v>0.71116122290598238</v>
      </c>
      <c r="D35" s="2">
        <f t="shared" si="2"/>
        <v>-1.3111612229059824</v>
      </c>
      <c r="E35" s="2">
        <f t="shared" si="1"/>
        <v>-1.3111612229059824</v>
      </c>
      <c r="G35" s="12" t="s">
        <v>77</v>
      </c>
      <c r="H35" s="12">
        <f>H13</f>
        <v>1.67</v>
      </c>
      <c r="I35" s="12" t="s">
        <v>17</v>
      </c>
      <c r="J35" s="13" t="str">
        <f t="shared" si="3"/>
        <v>V3:   +1.67 V</v>
      </c>
    </row>
    <row r="36" spans="2:10">
      <c r="B36" s="2">
        <v>22.2</v>
      </c>
      <c r="C36" s="2">
        <f t="shared" si="0"/>
        <v>-0.20733642060675878</v>
      </c>
      <c r="D36" s="2">
        <f t="shared" si="2"/>
        <v>-0.39266357939324126</v>
      </c>
      <c r="E36" s="2">
        <f t="shared" si="1"/>
        <v>-0.39266357939324126</v>
      </c>
      <c r="G36" s="12" t="s">
        <v>67</v>
      </c>
      <c r="H36" s="12">
        <f>C2</f>
        <v>1</v>
      </c>
      <c r="I36" s="12" t="s">
        <v>16</v>
      </c>
      <c r="J36" s="13" t="str">
        <f t="shared" ref="J36:J39" si="4">TRIM(G36)&amp;"   "&amp;TRIM(H36)&amp;" "&amp;TRIM(I36)</f>
        <v>R1:   1 K</v>
      </c>
    </row>
    <row r="37" spans="2:10">
      <c r="B37" s="2">
        <v>23.2</v>
      </c>
      <c r="C37" s="2">
        <f t="shared" si="0"/>
        <v>-0.93520991519453889</v>
      </c>
      <c r="D37" s="2">
        <f t="shared" si="2"/>
        <v>0.3352099151945388</v>
      </c>
      <c r="E37" s="2">
        <f t="shared" si="1"/>
        <v>0.3352099151945388</v>
      </c>
      <c r="G37" s="12" t="s">
        <v>72</v>
      </c>
      <c r="H37" s="12">
        <f>C3</f>
        <v>1</v>
      </c>
      <c r="I37" s="12" t="s">
        <v>16</v>
      </c>
      <c r="J37" s="13" t="str">
        <f t="shared" si="4"/>
        <v>R2:   1 K</v>
      </c>
    </row>
    <row r="38" spans="2:10">
      <c r="G38" s="12" t="s">
        <v>73</v>
      </c>
      <c r="H38" s="12">
        <f>C4</f>
        <v>1</v>
      </c>
      <c r="I38" s="12" t="s">
        <v>16</v>
      </c>
      <c r="J38" s="13" t="str">
        <f t="shared" si="4"/>
        <v>R3:   1 K</v>
      </c>
    </row>
    <row r="39" spans="2:10">
      <c r="G39" s="12" t="s">
        <v>68</v>
      </c>
      <c r="H39" s="12">
        <f>C5</f>
        <v>1</v>
      </c>
      <c r="I39" s="12" t="s">
        <v>16</v>
      </c>
      <c r="J39" s="13" t="str">
        <f t="shared" si="4"/>
        <v>RF:   1 K</v>
      </c>
    </row>
    <row r="40" spans="2:10">
      <c r="B40" s="2" t="s">
        <v>79</v>
      </c>
    </row>
    <row r="41" spans="2:10">
      <c r="B41" s="7" t="s">
        <v>6</v>
      </c>
      <c r="C41" s="7" t="s">
        <v>48</v>
      </c>
      <c r="D41" s="7" t="s">
        <v>78</v>
      </c>
    </row>
    <row r="42" spans="2:10">
      <c r="B42" s="2">
        <f>MIN($B$12:$B$37)</f>
        <v>0</v>
      </c>
      <c r="C42" s="2">
        <f>C6</f>
        <v>0.2</v>
      </c>
      <c r="D42" s="2">
        <f>C7</f>
        <v>0.4</v>
      </c>
    </row>
    <row r="43" spans="2:10">
      <c r="B43" s="2">
        <f>MAX($B$12:$B$37)</f>
        <v>23.2</v>
      </c>
      <c r="C43" s="2">
        <f>C42</f>
        <v>0.2</v>
      </c>
      <c r="D43" s="2">
        <f>D42</f>
        <v>0.4</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12BD6-4781-4909-A312-81F9F1C2768D}">
  <sheetPr codeName="Sheet3"/>
  <dimension ref="B1:J35"/>
  <sheetViews>
    <sheetView zoomScale="85" zoomScaleNormal="85" workbookViewId="0">
      <selection activeCell="C5" sqref="C5"/>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35</v>
      </c>
    </row>
    <row r="2" spans="2:9" ht="15.75" thickBot="1">
      <c r="B2" s="2" t="s">
        <v>37</v>
      </c>
      <c r="G2" s="6" t="s">
        <v>36</v>
      </c>
    </row>
    <row r="3" spans="2:9" ht="15.75" thickBot="1">
      <c r="B3" s="2" t="s">
        <v>0</v>
      </c>
      <c r="C3" s="3">
        <v>0</v>
      </c>
      <c r="D3" s="2" t="s">
        <v>17</v>
      </c>
      <c r="G3" s="2" t="s">
        <v>9</v>
      </c>
      <c r="H3" s="4">
        <v>12</v>
      </c>
      <c r="I3" s="2" t="s">
        <v>18</v>
      </c>
    </row>
    <row r="4" spans="2:9" ht="15.75" thickBot="1">
      <c r="B4" s="2" t="s">
        <v>1</v>
      </c>
      <c r="C4" s="3">
        <v>1</v>
      </c>
      <c r="D4" s="2" t="s">
        <v>39</v>
      </c>
      <c r="G4" s="2" t="s">
        <v>10</v>
      </c>
      <c r="H4" s="5">
        <v>0</v>
      </c>
      <c r="I4" s="2" t="s">
        <v>19</v>
      </c>
    </row>
    <row r="5" spans="2:9" ht="15.75" thickBot="1">
      <c r="B5" s="2" t="s">
        <v>25</v>
      </c>
      <c r="C5" s="4">
        <v>6</v>
      </c>
      <c r="D5" s="2" t="s">
        <v>38</v>
      </c>
      <c r="G5" s="2" t="s">
        <v>5</v>
      </c>
      <c r="H5" s="4">
        <v>-0.1</v>
      </c>
      <c r="I5" s="2" t="s">
        <v>23</v>
      </c>
    </row>
    <row r="6" spans="2:9" ht="15.75" thickBot="1">
      <c r="G6" s="2" t="s">
        <v>31</v>
      </c>
      <c r="H6" s="4">
        <v>1.3</v>
      </c>
      <c r="I6" s="2" t="s">
        <v>32</v>
      </c>
    </row>
    <row r="8" spans="2:9" ht="15.75" thickBot="1">
      <c r="E8" s="6" t="s">
        <v>30</v>
      </c>
      <c r="G8" s="6" t="s">
        <v>33</v>
      </c>
    </row>
    <row r="9" spans="2:9" ht="15.75" thickBot="1">
      <c r="B9" s="7" t="s">
        <v>6</v>
      </c>
      <c r="C9" s="7" t="s">
        <v>7</v>
      </c>
      <c r="D9" s="7" t="s">
        <v>3</v>
      </c>
      <c r="E9" s="7" t="s">
        <v>3</v>
      </c>
      <c r="G9" s="6" t="s">
        <v>29</v>
      </c>
      <c r="H9" s="4">
        <v>0.2</v>
      </c>
      <c r="I9" s="2" t="s">
        <v>17</v>
      </c>
    </row>
    <row r="10" spans="2:9">
      <c r="B10" s="2">
        <v>0</v>
      </c>
      <c r="C10" s="2">
        <f t="shared" ref="C10:C35" si="0">$C$5*SIN($B10)</f>
        <v>0</v>
      </c>
      <c r="D10" s="2">
        <f t="shared" ref="D10:D35" si="1">$C$5*SIN($B10+$H$5)</f>
        <v>-0.59900049988096893</v>
      </c>
      <c r="E10" s="2">
        <f>IF(D10&gt;($H$3-$H$6),($H$3-$H$6),IF(D10&lt;($H$4+$H$6),($H$4+$H$6),D10))</f>
        <v>1.3</v>
      </c>
      <c r="G10" s="6" t="s">
        <v>34</v>
      </c>
      <c r="H10" s="3">
        <f>IF(H9&gt;($H$3-$H$6),($H$3-$H$6),IF(H9&lt;($H$4+$H$6),($H$4+$H$6),H9))</f>
        <v>1.3</v>
      </c>
      <c r="I10" s="2" t="s">
        <v>17</v>
      </c>
    </row>
    <row r="11" spans="2:9">
      <c r="B11" s="2">
        <v>0.1</v>
      </c>
      <c r="C11" s="2">
        <f t="shared" si="0"/>
        <v>0.59900049988096893</v>
      </c>
      <c r="D11" s="2">
        <f t="shared" si="1"/>
        <v>0</v>
      </c>
      <c r="E11" s="2">
        <f t="shared" ref="E11:E35" si="2">IF(D11&gt;($H$3-$H$6),($H$3-$H$6),IF(D11&lt;($H$4+$H$6),($H$4+$H$6),D11))</f>
        <v>1.3</v>
      </c>
    </row>
    <row r="12" spans="2:9">
      <c r="B12" s="2">
        <v>0.2</v>
      </c>
      <c r="C12" s="2">
        <f t="shared" si="0"/>
        <v>1.1920159847703673</v>
      </c>
      <c r="D12" s="2">
        <f t="shared" si="1"/>
        <v>0.59900049988096893</v>
      </c>
      <c r="E12" s="2">
        <f t="shared" si="2"/>
        <v>1.3</v>
      </c>
    </row>
    <row r="13" spans="2:9">
      <c r="B13" s="2">
        <v>1.2</v>
      </c>
      <c r="C13" s="2">
        <f t="shared" si="0"/>
        <v>5.5922345158033577</v>
      </c>
      <c r="D13" s="2">
        <f t="shared" si="1"/>
        <v>5.3472441603686116</v>
      </c>
      <c r="E13" s="2">
        <f t="shared" si="2"/>
        <v>5.3472441603686116</v>
      </c>
    </row>
    <row r="14" spans="2:9">
      <c r="B14" s="2">
        <v>2.2000000000000002</v>
      </c>
      <c r="C14" s="2">
        <f t="shared" si="0"/>
        <v>4.8509784229175406</v>
      </c>
      <c r="D14" s="2">
        <f t="shared" si="1"/>
        <v>5.179256199893242</v>
      </c>
      <c r="E14" s="2">
        <f t="shared" si="2"/>
        <v>5.179256199893242</v>
      </c>
    </row>
    <row r="15" spans="2:9">
      <c r="B15" s="2">
        <v>3.2</v>
      </c>
      <c r="C15" s="2">
        <f t="shared" si="0"/>
        <v>-0.35024486056548054</v>
      </c>
      <c r="D15" s="2">
        <f t="shared" si="1"/>
        <v>0.24948397459974295</v>
      </c>
      <c r="E15" s="2">
        <f t="shared" si="2"/>
        <v>1.3</v>
      </c>
    </row>
    <row r="16" spans="2:9">
      <c r="B16" s="2">
        <v>4.2</v>
      </c>
      <c r="C16" s="2">
        <f t="shared" si="0"/>
        <v>-5.2294546344815291</v>
      </c>
      <c r="D16" s="2">
        <f t="shared" si="1"/>
        <v>-4.9096626663864651</v>
      </c>
      <c r="E16" s="2">
        <f t="shared" si="2"/>
        <v>1.3</v>
      </c>
    </row>
    <row r="17" spans="2:10">
      <c r="B17" s="2">
        <v>5.2</v>
      </c>
      <c r="C17" s="2">
        <f t="shared" si="0"/>
        <v>-5.3007279343209186</v>
      </c>
      <c r="D17" s="2">
        <f t="shared" si="1"/>
        <v>-5.5548880939663929</v>
      </c>
      <c r="E17" s="2">
        <f t="shared" si="2"/>
        <v>1.3</v>
      </c>
    </row>
    <row r="18" spans="2:10">
      <c r="B18" s="2">
        <v>6.2</v>
      </c>
      <c r="C18" s="2">
        <f t="shared" si="0"/>
        <v>-0.49853641690497841</v>
      </c>
      <c r="D18" s="2">
        <f t="shared" si="1"/>
        <v>-1.0929750256325701</v>
      </c>
      <c r="E18" s="2">
        <f t="shared" si="2"/>
        <v>1.3</v>
      </c>
    </row>
    <row r="19" spans="2:10">
      <c r="B19" s="2">
        <v>7.2</v>
      </c>
      <c r="C19" s="2">
        <f t="shared" si="0"/>
        <v>4.7620071830949184</v>
      </c>
      <c r="D19" s="2">
        <f t="shared" si="1"/>
        <v>4.3738142407552587</v>
      </c>
      <c r="E19" s="2">
        <f t="shared" si="2"/>
        <v>4.3738142407552587</v>
      </c>
    </row>
    <row r="20" spans="2:10">
      <c r="B20" s="2">
        <v>8.1999999999999993</v>
      </c>
      <c r="C20" s="2">
        <f t="shared" si="0"/>
        <v>5.6443833400786385</v>
      </c>
      <c r="D20" s="2">
        <f t="shared" si="1"/>
        <v>5.8193388650705176</v>
      </c>
      <c r="E20" s="2">
        <f t="shared" si="2"/>
        <v>5.8193388650705176</v>
      </c>
    </row>
    <row r="21" spans="2:10">
      <c r="B21" s="2">
        <v>9.1999999999999993</v>
      </c>
      <c r="C21" s="2">
        <f t="shared" si="0"/>
        <v>1.3373394846014859</v>
      </c>
      <c r="D21" s="2">
        <f t="shared" si="1"/>
        <v>1.9145901740961127</v>
      </c>
      <c r="E21" s="2">
        <f t="shared" si="2"/>
        <v>1.9145901740961127</v>
      </c>
    </row>
    <row r="22" spans="2:10">
      <c r="B22" s="2">
        <v>10.199999999999999</v>
      </c>
      <c r="C22" s="2">
        <f t="shared" si="0"/>
        <v>-4.1992481255612537</v>
      </c>
      <c r="D22" s="2">
        <f t="shared" si="1"/>
        <v>-3.7504238933572926</v>
      </c>
      <c r="E22" s="2">
        <f t="shared" si="2"/>
        <v>1.3</v>
      </c>
    </row>
    <row r="23" spans="2:10">
      <c r="B23" s="2">
        <v>11.2</v>
      </c>
      <c r="C23" s="2">
        <f t="shared" si="0"/>
        <v>-5.8750663749079042</v>
      </c>
      <c r="D23" s="2">
        <f t="shared" si="1"/>
        <v>-5.967315529223935</v>
      </c>
      <c r="E23" s="2">
        <f t="shared" si="2"/>
        <v>1.3</v>
      </c>
    </row>
    <row r="24" spans="2:10">
      <c r="B24" s="2">
        <v>12.2</v>
      </c>
      <c r="C24" s="2">
        <f t="shared" si="0"/>
        <v>-2.1493756934209722</v>
      </c>
      <c r="D24" s="2">
        <f t="shared" si="1"/>
        <v>-2.6978847872076086</v>
      </c>
      <c r="E24" s="2">
        <f t="shared" si="2"/>
        <v>1.3</v>
      </c>
    </row>
    <row r="25" spans="2:10">
      <c r="B25" s="2">
        <v>13.2</v>
      </c>
      <c r="C25" s="2">
        <f t="shared" si="0"/>
        <v>3.5524410882433379</v>
      </c>
      <c r="D25" s="2">
        <f t="shared" si="1"/>
        <v>3.0519687862342422</v>
      </c>
      <c r="E25" s="2">
        <f t="shared" si="2"/>
        <v>3.0519687862342422</v>
      </c>
    </row>
    <row r="26" spans="2:10">
      <c r="B26" s="2">
        <v>14.2</v>
      </c>
      <c r="C26" s="2">
        <f t="shared" si="0"/>
        <v>5.9881599162981702</v>
      </c>
      <c r="D26" s="2">
        <f t="shared" si="1"/>
        <v>5.9958563324875058</v>
      </c>
      <c r="E26" s="2">
        <f t="shared" si="2"/>
        <v>5.9958563324875058</v>
      </c>
    </row>
    <row r="27" spans="2:10">
      <c r="B27" s="2">
        <v>15.2</v>
      </c>
      <c r="C27" s="2">
        <f t="shared" si="0"/>
        <v>2.918392133122798</v>
      </c>
      <c r="D27" s="2">
        <f t="shared" si="1"/>
        <v>3.4271812179599319</v>
      </c>
      <c r="E27" s="2">
        <f t="shared" si="2"/>
        <v>3.4271812179599319</v>
      </c>
    </row>
    <row r="28" spans="2:10">
      <c r="B28" s="2">
        <v>16.2</v>
      </c>
      <c r="C28" s="2">
        <f t="shared" si="0"/>
        <v>-2.8345319183907969</v>
      </c>
      <c r="D28" s="2">
        <f t="shared" si="1"/>
        <v>-2.292428503104035</v>
      </c>
      <c r="E28" s="2">
        <f t="shared" si="2"/>
        <v>1.3</v>
      </c>
    </row>
    <row r="29" spans="2:10">
      <c r="B29" s="2">
        <v>17.2</v>
      </c>
      <c r="C29" s="2">
        <f t="shared" si="0"/>
        <v>-5.9814003962495761</v>
      </c>
      <c r="D29" s="2">
        <f t="shared" si="1"/>
        <v>-5.9043900304898562</v>
      </c>
      <c r="E29" s="2">
        <f t="shared" si="2"/>
        <v>1.3</v>
      </c>
      <c r="G29" s="6" t="s">
        <v>65</v>
      </c>
    </row>
    <row r="30" spans="2:10">
      <c r="B30" s="2">
        <v>18.2</v>
      </c>
      <c r="C30" s="2">
        <f t="shared" si="0"/>
        <v>-3.6289969344377049</v>
      </c>
      <c r="D30" s="2">
        <f t="shared" si="1"/>
        <v>-4.0878825933330152</v>
      </c>
      <c r="E30" s="2">
        <f t="shared" si="2"/>
        <v>1.3</v>
      </c>
      <c r="G30" s="12" t="s">
        <v>64</v>
      </c>
      <c r="H30" s="12">
        <f>H3</f>
        <v>12</v>
      </c>
      <c r="I30" s="12" t="s">
        <v>17</v>
      </c>
      <c r="J30" s="13" t="str">
        <f>TRIM(G30)&amp;"   "&amp;IF(H30&gt;0,"+","")&amp;TRIM(H30)&amp;" "&amp;TRIM(I30)</f>
        <v>V+:   +12 V</v>
      </c>
    </row>
    <row r="31" spans="2:10">
      <c r="B31" s="2">
        <v>19.2</v>
      </c>
      <c r="C31" s="2">
        <f t="shared" si="0"/>
        <v>2.0598895729193725</v>
      </c>
      <c r="D31" s="2">
        <f t="shared" si="1"/>
        <v>1.4870052478977382</v>
      </c>
      <c r="E31" s="2">
        <f t="shared" si="2"/>
        <v>1.4870052478977382</v>
      </c>
      <c r="G31" s="12" t="s">
        <v>66</v>
      </c>
      <c r="H31" s="12">
        <f>H4</f>
        <v>0</v>
      </c>
      <c r="I31" s="12" t="s">
        <v>17</v>
      </c>
      <c r="J31" s="13" t="str">
        <f t="shared" ref="J31:J32" si="3">TRIM(G31)&amp;"   "&amp;IF(H31&gt;0,"+","")&amp;TRIM(H31)&amp;" "&amp;TRIM(I31)</f>
        <v>V-:   0 V</v>
      </c>
    </row>
    <row r="32" spans="2:10">
      <c r="B32" s="2">
        <v>20.2</v>
      </c>
      <c r="C32" s="2">
        <f t="shared" si="0"/>
        <v>5.854923106601853</v>
      </c>
      <c r="D32" s="2">
        <f t="shared" si="1"/>
        <v>5.6947473218873608</v>
      </c>
      <c r="E32" s="2">
        <f t="shared" si="2"/>
        <v>5.6947473218873608</v>
      </c>
      <c r="G32" s="12" t="s">
        <v>29</v>
      </c>
      <c r="H32" s="12">
        <f>H9</f>
        <v>0.2</v>
      </c>
      <c r="I32" s="12" t="s">
        <v>17</v>
      </c>
      <c r="J32" s="13" t="str">
        <f t="shared" si="3"/>
        <v>Vin:   +0.2 V</v>
      </c>
    </row>
    <row r="33" spans="2:9">
      <c r="B33" s="2">
        <v>21.2</v>
      </c>
      <c r="C33" s="2">
        <f t="shared" si="0"/>
        <v>4.2669673374358945</v>
      </c>
      <c r="D33" s="2">
        <f t="shared" si="1"/>
        <v>4.6667649708065699</v>
      </c>
      <c r="E33" s="2">
        <f t="shared" si="2"/>
        <v>4.6667649708065699</v>
      </c>
    </row>
    <row r="34" spans="2:9">
      <c r="B34" s="2">
        <v>22.2</v>
      </c>
      <c r="C34" s="2">
        <f t="shared" si="0"/>
        <v>-1.2440185236405528</v>
      </c>
      <c r="D34" s="2">
        <f t="shared" si="1"/>
        <v>-0.65181957254445733</v>
      </c>
      <c r="E34" s="2">
        <f t="shared" si="2"/>
        <v>1.3</v>
      </c>
      <c r="G34" s="12"/>
      <c r="H34" s="12"/>
      <c r="I34" s="12"/>
    </row>
    <row r="35" spans="2:9">
      <c r="B35" s="2">
        <v>23.2</v>
      </c>
      <c r="C35" s="2">
        <f t="shared" si="0"/>
        <v>-5.6112594911672335</v>
      </c>
      <c r="D35" s="2">
        <f t="shared" si="1"/>
        <v>-5.3711242069180809</v>
      </c>
      <c r="E35" s="2">
        <f t="shared" si="2"/>
        <v>1.3</v>
      </c>
    </row>
  </sheetData>
  <pageMargins left="0.7" right="0.7" top="0.75" bottom="0.75" header="0.3" footer="0.3"/>
  <pageSetup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8E3AB-25C6-4F97-BDEC-FF2080048D7F}">
  <sheetPr codeName="Sheet13"/>
  <dimension ref="B1:M37"/>
  <sheetViews>
    <sheetView zoomScale="85" zoomScaleNormal="85" workbookViewId="0">
      <selection activeCell="C2" sqref="C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107</v>
      </c>
      <c r="C2" s="4">
        <v>0.5</v>
      </c>
      <c r="D2" s="2" t="s">
        <v>17</v>
      </c>
      <c r="E2" s="2" t="s">
        <v>12</v>
      </c>
      <c r="F2" s="8">
        <v>1</v>
      </c>
      <c r="G2" s="2" t="s">
        <v>16</v>
      </c>
      <c r="K2" s="6" t="s">
        <v>36</v>
      </c>
    </row>
    <row r="3" spans="2:13" ht="15.75" thickBot="1">
      <c r="B3" s="2" t="s">
        <v>0</v>
      </c>
      <c r="C3" s="3">
        <f>(1+F5/F4)*(F2/(F2+F3))*C2</f>
        <v>1.65</v>
      </c>
      <c r="E3" s="2" t="s">
        <v>13</v>
      </c>
      <c r="F3" s="4">
        <v>1</v>
      </c>
      <c r="G3" s="2" t="s">
        <v>16</v>
      </c>
      <c r="K3" s="2" t="s">
        <v>9</v>
      </c>
      <c r="L3" s="4">
        <v>5</v>
      </c>
      <c r="M3" s="2" t="s">
        <v>18</v>
      </c>
    </row>
    <row r="4" spans="2:13" ht="15.75" thickBot="1">
      <c r="B4" s="2" t="s">
        <v>1</v>
      </c>
      <c r="C4" s="3">
        <f>(1+F5/F4)*(F3/(F2+F3))</f>
        <v>3.3</v>
      </c>
      <c r="E4" s="2" t="s">
        <v>14</v>
      </c>
      <c r="F4" s="4">
        <v>1</v>
      </c>
      <c r="G4" s="2" t="s">
        <v>16</v>
      </c>
      <c r="K4" s="2" t="s">
        <v>10</v>
      </c>
      <c r="L4" s="5">
        <v>-5</v>
      </c>
      <c r="M4" s="2" t="s">
        <v>19</v>
      </c>
    </row>
    <row r="5" spans="2:13" ht="15.75" thickBot="1">
      <c r="B5" s="2" t="s">
        <v>4</v>
      </c>
      <c r="C5" s="4">
        <v>1</v>
      </c>
      <c r="D5" s="2" t="s">
        <v>17</v>
      </c>
      <c r="E5" s="2" t="s">
        <v>15</v>
      </c>
      <c r="F5" s="5">
        <v>5.6</v>
      </c>
      <c r="G5" s="2" t="s">
        <v>16</v>
      </c>
      <c r="K5" s="2" t="s">
        <v>31</v>
      </c>
      <c r="L5" s="4">
        <v>1.3</v>
      </c>
      <c r="M5" s="2" t="s">
        <v>32</v>
      </c>
    </row>
    <row r="9" spans="2:13">
      <c r="E9" s="6" t="s">
        <v>30</v>
      </c>
    </row>
    <row r="10" spans="2:13" ht="15.75" thickBot="1">
      <c r="B10" s="7" t="s">
        <v>6</v>
      </c>
      <c r="C10" s="7" t="s">
        <v>2</v>
      </c>
      <c r="D10" s="7" t="s">
        <v>3</v>
      </c>
      <c r="E10" s="7" t="s">
        <v>3</v>
      </c>
      <c r="G10" s="6" t="s">
        <v>33</v>
      </c>
    </row>
    <row r="11" spans="2:13" ht="15.75" thickBot="1">
      <c r="B11" s="2">
        <v>0</v>
      </c>
      <c r="C11" s="2">
        <f>$C$5*SIN($B11)</f>
        <v>0</v>
      </c>
      <c r="D11" s="2">
        <f>(1+($F$5/$F$4))*($C11*($F$3/($F$2+$F$3))+$C$2*($F$2/($F$2+$F$3)))</f>
        <v>1.65</v>
      </c>
      <c r="E11" s="2">
        <f>IF(D11&gt;($L$3-$L$5),($L$3-$L$5),IF(D11&lt;($L$4+$L$5),($L$4+$L$5),D11))</f>
        <v>1.65</v>
      </c>
      <c r="G11" s="6" t="s">
        <v>106</v>
      </c>
      <c r="H11" s="4">
        <v>0.5</v>
      </c>
      <c r="I11" s="2" t="s">
        <v>17</v>
      </c>
    </row>
    <row r="12" spans="2:13">
      <c r="B12" s="2">
        <v>0.1</v>
      </c>
      <c r="C12" s="2">
        <f t="shared" ref="C12:C36" si="0">$C$5*SIN($B12)</f>
        <v>9.9833416646828155E-2</v>
      </c>
      <c r="D12" s="2">
        <f t="shared" ref="D12:D36" si="1">(1+($F$5/$F$4))*($C12*($F$3/($F$2+$F$3))+$C$2*($F$2/($F$2+$F$3)))</f>
        <v>1.9794502749345331</v>
      </c>
      <c r="E12" s="2">
        <f>IF(D12&gt;($L$3-$L$5),($L$3-$L$5),IF(D12&lt;($L$4+$L$5),($L$4+$L$5),D12))</f>
        <v>1.9794502749345331</v>
      </c>
      <c r="G12" s="6" t="s">
        <v>34</v>
      </c>
      <c r="H12" s="3">
        <f>IF((1+($F$5/$F$4))*($H11*($F$3/($F$2+$F$3))+$C$2*($F$2/($F$2+$F$3)))&gt;($L$3-$L$5),($L$3-$L$5),IF((1+($F$5/$F$4))*($H11*($F$3/($F$2+$F$3))+$C$2*($F$2/($F$2+$F$3)))&lt;($L$4+$L$5),($L$4+$L$5),(1+($F$5/$F$4))*($H11*($F$3/($F$2+$F$3))+$C$2*($F$2/($F$2+$F$3)))))</f>
        <v>3.3</v>
      </c>
      <c r="I12" s="2" t="s">
        <v>17</v>
      </c>
    </row>
    <row r="13" spans="2:13">
      <c r="B13" s="2">
        <v>0.2</v>
      </c>
      <c r="C13" s="2">
        <f t="shared" si="0"/>
        <v>0.19866933079506122</v>
      </c>
      <c r="D13" s="2">
        <f t="shared" si="1"/>
        <v>2.305608791623702</v>
      </c>
      <c r="E13" s="2">
        <f t="shared" ref="E13:E36" si="2">IF(D13&gt;($L$3-$L$5),($L$3-$L$5),IF(D13&lt;($L$4+$L$5),($L$4+$L$5),D13))</f>
        <v>2.305608791623702</v>
      </c>
    </row>
    <row r="14" spans="2:13">
      <c r="B14" s="2">
        <v>1.2</v>
      </c>
      <c r="C14" s="2">
        <f t="shared" si="0"/>
        <v>0.93203908596722629</v>
      </c>
      <c r="D14" s="2">
        <f t="shared" si="1"/>
        <v>4.7257289836918464</v>
      </c>
      <c r="E14" s="2">
        <f t="shared" si="2"/>
        <v>3.7</v>
      </c>
    </row>
    <row r="15" spans="2:13">
      <c r="B15" s="2">
        <v>2.2000000000000002</v>
      </c>
      <c r="C15" s="2">
        <f t="shared" si="0"/>
        <v>0.80849640381959009</v>
      </c>
      <c r="D15" s="2">
        <f t="shared" si="1"/>
        <v>4.3180381326046469</v>
      </c>
      <c r="E15" s="2">
        <f t="shared" si="2"/>
        <v>3.7</v>
      </c>
    </row>
    <row r="16" spans="2:13">
      <c r="B16" s="2">
        <v>3.2</v>
      </c>
      <c r="C16" s="2">
        <f t="shared" si="0"/>
        <v>-5.8374143427580086E-2</v>
      </c>
      <c r="D16" s="2">
        <f t="shared" si="1"/>
        <v>1.4573653266889857</v>
      </c>
      <c r="E16" s="2">
        <f t="shared" si="2"/>
        <v>1.4573653266889857</v>
      </c>
    </row>
    <row r="17" spans="2:10">
      <c r="B17" s="2">
        <v>4.2</v>
      </c>
      <c r="C17" s="2">
        <f t="shared" si="0"/>
        <v>-0.87157577241358819</v>
      </c>
      <c r="D17" s="2">
        <f t="shared" si="1"/>
        <v>-1.226200048964841</v>
      </c>
      <c r="E17" s="2">
        <f t="shared" si="2"/>
        <v>-1.226200048964841</v>
      </c>
    </row>
    <row r="18" spans="2:10">
      <c r="B18" s="2">
        <v>5.2</v>
      </c>
      <c r="C18" s="2">
        <f t="shared" si="0"/>
        <v>-0.88345465572015314</v>
      </c>
      <c r="D18" s="2">
        <f t="shared" si="1"/>
        <v>-1.2654003638765052</v>
      </c>
      <c r="E18" s="2">
        <f t="shared" si="2"/>
        <v>-1.2654003638765052</v>
      </c>
    </row>
    <row r="19" spans="2:10">
      <c r="B19" s="2">
        <v>6.2</v>
      </c>
      <c r="C19" s="2">
        <f t="shared" si="0"/>
        <v>-8.3089402817496397E-2</v>
      </c>
      <c r="D19" s="2">
        <f t="shared" si="1"/>
        <v>1.3758049707022619</v>
      </c>
      <c r="E19" s="2">
        <f t="shared" si="2"/>
        <v>1.3758049707022619</v>
      </c>
    </row>
    <row r="20" spans="2:10">
      <c r="B20" s="2">
        <v>7.2</v>
      </c>
      <c r="C20" s="2">
        <f t="shared" si="0"/>
        <v>0.79366786384915311</v>
      </c>
      <c r="D20" s="2">
        <f t="shared" si="1"/>
        <v>4.2691039507022053</v>
      </c>
      <c r="E20" s="2">
        <f t="shared" si="2"/>
        <v>3.7</v>
      </c>
    </row>
    <row r="21" spans="2:10">
      <c r="B21" s="2">
        <v>8.1999999999999993</v>
      </c>
      <c r="C21" s="2">
        <f t="shared" si="0"/>
        <v>0.94073055667977312</v>
      </c>
      <c r="D21" s="2">
        <f t="shared" si="1"/>
        <v>4.7544108370432516</v>
      </c>
      <c r="E21" s="2">
        <f t="shared" si="2"/>
        <v>3.7</v>
      </c>
    </row>
    <row r="22" spans="2:10">
      <c r="B22" s="2">
        <v>9.1999999999999993</v>
      </c>
      <c r="C22" s="2">
        <f t="shared" si="0"/>
        <v>0.22288991410024764</v>
      </c>
      <c r="D22" s="2">
        <f t="shared" si="1"/>
        <v>2.385536716530817</v>
      </c>
      <c r="E22" s="2">
        <f t="shared" si="2"/>
        <v>2.385536716530817</v>
      </c>
    </row>
    <row r="23" spans="2:10">
      <c r="B23" s="2">
        <v>10.199999999999999</v>
      </c>
      <c r="C23" s="2">
        <f t="shared" si="0"/>
        <v>-0.69987468759354232</v>
      </c>
      <c r="D23" s="2">
        <f t="shared" si="1"/>
        <v>-0.65958646905868967</v>
      </c>
      <c r="E23" s="2">
        <f t="shared" si="2"/>
        <v>-0.65958646905868967</v>
      </c>
    </row>
    <row r="24" spans="2:10">
      <c r="B24" s="2">
        <v>11.2</v>
      </c>
      <c r="C24" s="2">
        <f t="shared" si="0"/>
        <v>-0.9791777291513174</v>
      </c>
      <c r="D24" s="2">
        <f t="shared" si="1"/>
        <v>-1.5812865061993473</v>
      </c>
      <c r="E24" s="2">
        <f t="shared" si="2"/>
        <v>-1.5812865061993473</v>
      </c>
    </row>
    <row r="25" spans="2:10">
      <c r="B25" s="2">
        <v>12.2</v>
      </c>
      <c r="C25" s="2">
        <f t="shared" si="0"/>
        <v>-0.35822928223682871</v>
      </c>
      <c r="D25" s="2">
        <f t="shared" si="1"/>
        <v>0.46784336861846526</v>
      </c>
      <c r="E25" s="2">
        <f t="shared" si="2"/>
        <v>0.46784336861846526</v>
      </c>
    </row>
    <row r="26" spans="2:10">
      <c r="B26" s="2">
        <v>13.2</v>
      </c>
      <c r="C26" s="2">
        <f t="shared" si="0"/>
        <v>0.59207351470722303</v>
      </c>
      <c r="D26" s="2">
        <f t="shared" si="1"/>
        <v>3.603842598533836</v>
      </c>
      <c r="E26" s="2">
        <f t="shared" si="2"/>
        <v>3.603842598533836</v>
      </c>
    </row>
    <row r="27" spans="2:10">
      <c r="B27" s="2">
        <v>14.2</v>
      </c>
      <c r="C27" s="2">
        <f t="shared" si="0"/>
        <v>0.99802665271636171</v>
      </c>
      <c r="D27" s="2">
        <f t="shared" si="1"/>
        <v>4.9434879539639933</v>
      </c>
      <c r="E27" s="2">
        <f t="shared" si="2"/>
        <v>3.7</v>
      </c>
    </row>
    <row r="28" spans="2:10">
      <c r="B28" s="2">
        <v>15.2</v>
      </c>
      <c r="C28" s="2">
        <f t="shared" si="0"/>
        <v>0.48639868885379967</v>
      </c>
      <c r="D28" s="2">
        <f t="shared" si="1"/>
        <v>3.2551156732175386</v>
      </c>
      <c r="E28" s="2">
        <f t="shared" si="2"/>
        <v>3.2551156732175386</v>
      </c>
    </row>
    <row r="29" spans="2:10">
      <c r="B29" s="2">
        <v>16.2</v>
      </c>
      <c r="C29" s="2">
        <f t="shared" si="0"/>
        <v>-0.47242198639846616</v>
      </c>
      <c r="D29" s="2">
        <f t="shared" si="1"/>
        <v>9.1007444885061656E-2</v>
      </c>
      <c r="E29" s="2">
        <f t="shared" si="2"/>
        <v>9.1007444885061656E-2</v>
      </c>
      <c r="G29" s="6" t="s">
        <v>65</v>
      </c>
    </row>
    <row r="30" spans="2:10">
      <c r="B30" s="2">
        <v>17.2</v>
      </c>
      <c r="C30" s="2">
        <f t="shared" si="0"/>
        <v>-0.99690006604159609</v>
      </c>
      <c r="D30" s="2">
        <f t="shared" si="1"/>
        <v>-1.6397702179372671</v>
      </c>
      <c r="E30" s="2">
        <f t="shared" si="2"/>
        <v>-1.6397702179372671</v>
      </c>
      <c r="G30" s="12" t="s">
        <v>64</v>
      </c>
      <c r="H30" s="12">
        <f>L3</f>
        <v>5</v>
      </c>
      <c r="I30" s="12" t="s">
        <v>17</v>
      </c>
      <c r="J30" s="13" t="str">
        <f>TRIM(G30)&amp;"   "&amp;IF(H30&gt;0,"+","")&amp;TRIM(H30)&amp;" "&amp;TRIM(I30)</f>
        <v>V+:   +5 V</v>
      </c>
    </row>
    <row r="31" spans="2:10">
      <c r="B31" s="2">
        <v>18.2</v>
      </c>
      <c r="C31" s="2">
        <f t="shared" si="0"/>
        <v>-0.60483282240628411</v>
      </c>
      <c r="D31" s="2">
        <f t="shared" si="1"/>
        <v>-0.34594831394073755</v>
      </c>
      <c r="E31" s="2">
        <f t="shared" si="2"/>
        <v>-0.34594831394073755</v>
      </c>
      <c r="G31" s="12" t="s">
        <v>66</v>
      </c>
      <c r="H31" s="12">
        <f>L4</f>
        <v>-5</v>
      </c>
      <c r="I31" s="12" t="s">
        <v>17</v>
      </c>
      <c r="J31" s="13" t="str">
        <f t="shared" ref="J31:J33" si="3">TRIM(G31)&amp;"   "&amp;IF(H31&gt;0,"+","")&amp;TRIM(H31)&amp;" "&amp;TRIM(I31)</f>
        <v>V-:   -5 V</v>
      </c>
    </row>
    <row r="32" spans="2:10">
      <c r="B32" s="2">
        <v>19.2</v>
      </c>
      <c r="C32" s="2">
        <f t="shared" si="0"/>
        <v>0.34331492881989539</v>
      </c>
      <c r="D32" s="2">
        <f t="shared" si="1"/>
        <v>2.7829392651056546</v>
      </c>
      <c r="E32" s="2">
        <f t="shared" si="2"/>
        <v>2.7829392651056546</v>
      </c>
      <c r="G32" s="12" t="s">
        <v>29</v>
      </c>
      <c r="H32" s="12">
        <f>H11</f>
        <v>0.5</v>
      </c>
      <c r="I32" s="12" t="s">
        <v>17</v>
      </c>
      <c r="J32" s="13" t="str">
        <f t="shared" si="3"/>
        <v>Vin:   +0.5 V</v>
      </c>
    </row>
    <row r="33" spans="2:10">
      <c r="B33" s="2">
        <v>20.2</v>
      </c>
      <c r="C33" s="2">
        <f t="shared" si="0"/>
        <v>0.97582051776697554</v>
      </c>
      <c r="D33" s="2">
        <f t="shared" si="1"/>
        <v>4.8702077086310194</v>
      </c>
      <c r="E33" s="2">
        <f t="shared" si="2"/>
        <v>3.7</v>
      </c>
      <c r="G33" s="12" t="s">
        <v>69</v>
      </c>
      <c r="H33" s="12">
        <f>C2</f>
        <v>0.5</v>
      </c>
      <c r="I33" s="12" t="s">
        <v>17</v>
      </c>
      <c r="J33" s="13" t="str">
        <f t="shared" si="3"/>
        <v>Vb:   +0.5 V</v>
      </c>
    </row>
    <row r="34" spans="2:10">
      <c r="B34" s="2">
        <v>21.2</v>
      </c>
      <c r="C34" s="2">
        <f t="shared" si="0"/>
        <v>0.71116122290598238</v>
      </c>
      <c r="D34" s="2">
        <f t="shared" si="1"/>
        <v>3.9968320355897413</v>
      </c>
      <c r="E34" s="2">
        <f t="shared" si="2"/>
        <v>3.7</v>
      </c>
      <c r="G34" s="12" t="s">
        <v>67</v>
      </c>
      <c r="H34" s="12">
        <f>F2</f>
        <v>1</v>
      </c>
      <c r="I34" s="12" t="s">
        <v>16</v>
      </c>
      <c r="J34" s="13" t="str">
        <f t="shared" ref="J34:J37" si="4">TRIM(G34)&amp;"   "&amp;TRIM(H34)&amp;" "&amp;TRIM(I34)</f>
        <v>R1:   1 K</v>
      </c>
    </row>
    <row r="35" spans="2:10">
      <c r="B35" s="2">
        <v>22.2</v>
      </c>
      <c r="C35" s="2">
        <f t="shared" si="0"/>
        <v>-0.20733642060675878</v>
      </c>
      <c r="D35" s="2">
        <f t="shared" si="1"/>
        <v>0.96578981199769598</v>
      </c>
      <c r="E35" s="2">
        <f t="shared" si="2"/>
        <v>0.96578981199769598</v>
      </c>
      <c r="G35" s="12" t="s">
        <v>72</v>
      </c>
      <c r="H35" s="12">
        <f>F3</f>
        <v>1</v>
      </c>
      <c r="I35" s="12" t="s">
        <v>16</v>
      </c>
      <c r="J35" s="13" t="str">
        <f t="shared" si="4"/>
        <v>R2:   1 K</v>
      </c>
    </row>
    <row r="36" spans="2:10">
      <c r="B36" s="2">
        <v>23.2</v>
      </c>
      <c r="C36" s="2">
        <f t="shared" si="0"/>
        <v>-0.93520991519453889</v>
      </c>
      <c r="D36" s="2">
        <f t="shared" si="1"/>
        <v>-1.4361927201419782</v>
      </c>
      <c r="E36" s="2">
        <f t="shared" si="2"/>
        <v>-1.4361927201419782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1DF5A-BB19-481A-BF20-0F3354AE0057}">
  <dimension ref="B1:M37"/>
  <sheetViews>
    <sheetView zoomScale="85" zoomScaleNormal="85" workbookViewId="0">
      <selection activeCell="I2" sqref="I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11</v>
      </c>
      <c r="C2" s="3">
        <f>I7*(F2+F3)/(F2*(1+(F5/F4)))</f>
        <v>0.5</v>
      </c>
      <c r="D2" s="2" t="s">
        <v>17</v>
      </c>
      <c r="E2" s="2" t="s">
        <v>12</v>
      </c>
      <c r="F2" s="3">
        <v>1</v>
      </c>
      <c r="G2" s="2" t="s">
        <v>16</v>
      </c>
      <c r="H2" s="2" t="s">
        <v>24</v>
      </c>
      <c r="I2" s="8">
        <v>-0.5</v>
      </c>
      <c r="K2" s="6" t="s">
        <v>36</v>
      </c>
    </row>
    <row r="3" spans="2:13" ht="15.75" thickBot="1">
      <c r="B3" s="2" t="s">
        <v>0</v>
      </c>
      <c r="C3" s="3">
        <f>(1+F5/F4)*(F2/(F2+F3))*C2</f>
        <v>1.65</v>
      </c>
      <c r="E3" s="2" t="s">
        <v>13</v>
      </c>
      <c r="F3" s="3">
        <v>1</v>
      </c>
      <c r="G3" s="2" t="s">
        <v>16</v>
      </c>
      <c r="H3" s="2" t="s">
        <v>25</v>
      </c>
      <c r="I3" s="4">
        <v>0.5</v>
      </c>
      <c r="K3" s="2" t="s">
        <v>9</v>
      </c>
      <c r="L3" s="4">
        <v>5</v>
      </c>
      <c r="M3" s="2" t="s">
        <v>18</v>
      </c>
    </row>
    <row r="4" spans="2:13" ht="15.75" thickBot="1">
      <c r="B4" s="2" t="s">
        <v>1</v>
      </c>
      <c r="C4" s="3">
        <f>(1+F5/F4)*(F3/(F2+F3))</f>
        <v>3.3</v>
      </c>
      <c r="E4" s="2" t="s">
        <v>14</v>
      </c>
      <c r="F4" s="3">
        <v>1</v>
      </c>
      <c r="G4" s="2" t="s">
        <v>16</v>
      </c>
      <c r="H4" s="2" t="s">
        <v>26</v>
      </c>
      <c r="I4" s="4">
        <v>0</v>
      </c>
      <c r="K4" s="2" t="s">
        <v>10</v>
      </c>
      <c r="L4" s="5">
        <v>0</v>
      </c>
      <c r="M4" s="2" t="s">
        <v>19</v>
      </c>
    </row>
    <row r="5" spans="2:13" ht="15.75" thickBot="1">
      <c r="B5" s="2" t="s">
        <v>4</v>
      </c>
      <c r="C5" s="3">
        <f>I3</f>
        <v>0.5</v>
      </c>
      <c r="D5" s="2" t="s">
        <v>17</v>
      </c>
      <c r="E5" s="2" t="s">
        <v>15</v>
      </c>
      <c r="F5" s="3">
        <f>I6*(F2+F3)/F3-1</f>
        <v>5.6</v>
      </c>
      <c r="G5" s="2" t="s">
        <v>16</v>
      </c>
      <c r="H5" s="2" t="s">
        <v>27</v>
      </c>
      <c r="I5" s="5">
        <v>3.3</v>
      </c>
      <c r="K5" s="2" t="s">
        <v>31</v>
      </c>
      <c r="L5" s="4">
        <v>1.2</v>
      </c>
      <c r="M5" s="2" t="s">
        <v>32</v>
      </c>
    </row>
    <row r="6" spans="2:13">
      <c r="H6" s="2" t="s">
        <v>28</v>
      </c>
      <c r="I6" s="9">
        <f>(I5-I4)/(I3-I2)</f>
        <v>3.3</v>
      </c>
    </row>
    <row r="7" spans="2:13">
      <c r="E7" s="2" t="s">
        <v>28</v>
      </c>
      <c r="F7" s="2">
        <f>(1+(F5/F4))*(F3/(F2+F3))</f>
        <v>3.3</v>
      </c>
      <c r="H7" s="2" t="s">
        <v>0</v>
      </c>
      <c r="I7" s="9">
        <f>(I5+I4)/2</f>
        <v>1.65</v>
      </c>
      <c r="J7" s="2" t="s">
        <v>17</v>
      </c>
    </row>
    <row r="9" spans="2:13">
      <c r="E9" s="6" t="s">
        <v>30</v>
      </c>
    </row>
    <row r="10" spans="2:13" ht="15.75" thickBot="1">
      <c r="B10" s="7" t="s">
        <v>6</v>
      </c>
      <c r="C10" s="7" t="s">
        <v>2</v>
      </c>
      <c r="D10" s="7" t="s">
        <v>3</v>
      </c>
      <c r="E10" s="7" t="s">
        <v>3</v>
      </c>
      <c r="G10" s="6" t="s">
        <v>33</v>
      </c>
    </row>
    <row r="11" spans="2:13" ht="15.75" thickBot="1">
      <c r="B11" s="2">
        <v>0</v>
      </c>
      <c r="C11" s="2">
        <f>AVERAGE($I$2:$I$3)+SIN($B11)*($I$3-$I$2)/2</f>
        <v>0</v>
      </c>
      <c r="D11" s="2">
        <f t="shared" ref="D11:D36" si="0">(1+($F$5/$F$4))*($C11*($F$3/($F$2+$F$3))+$C$2*($F$2/($F$2+$F$3)))</f>
        <v>1.65</v>
      </c>
      <c r="E11" s="2">
        <f>IF(D11&gt;($L$3-$L$5),($L$3-$L$5),IF(D11&lt;($L$4+$L$5),($L$4+$L$5),D11))</f>
        <v>1.65</v>
      </c>
      <c r="G11" s="6" t="s">
        <v>29</v>
      </c>
      <c r="H11" s="4">
        <v>-0.4</v>
      </c>
      <c r="I11" s="2" t="s">
        <v>17</v>
      </c>
    </row>
    <row r="12" spans="2:13">
      <c r="B12" s="2">
        <v>0.1</v>
      </c>
      <c r="C12" s="2">
        <f t="shared" ref="C12:C36" si="1">AVERAGE($I$2:$I$3)+SIN($B12)*($I$3-$I$2)/2</f>
        <v>4.9916708323414077E-2</v>
      </c>
      <c r="D12" s="2">
        <f t="shared" si="0"/>
        <v>1.8147251374672664</v>
      </c>
      <c r="E12" s="2">
        <f>IF(D12&gt;($L$3-$L$5),($L$3-$L$5),IF(D12&lt;($L$4+$L$5),($L$4+$L$5),D12))</f>
        <v>1.8147251374672664</v>
      </c>
      <c r="G12" s="6" t="s">
        <v>34</v>
      </c>
      <c r="H12" s="3">
        <f>IF((1+($F$5/$F$4))*($H11*($F$3/($F$2+$F$3))+$C$2*($F$2/($F$2+$F$3)))&gt;($L$3-$L$5),($L$3-$L$5),IF((1+($F$5/$F$4))*($H11*($F$3/($F$2+$F$3))+$C$2*($F$2/($F$2+$F$3)))&lt;($L$4+$L$5),($L$4+$L$5),(1+($F$5/$F$4))*($H11*($F$3/($F$2+$F$3))+$C$2*($F$2/($F$2+$F$3)))))</f>
        <v>1.2</v>
      </c>
      <c r="I12" s="2" t="s">
        <v>17</v>
      </c>
    </row>
    <row r="13" spans="2:13">
      <c r="B13" s="2">
        <v>0.2</v>
      </c>
      <c r="C13" s="2">
        <f t="shared" si="1"/>
        <v>9.9334665397530608E-2</v>
      </c>
      <c r="D13" s="2">
        <f t="shared" si="0"/>
        <v>1.9778043958118512</v>
      </c>
      <c r="E13" s="2">
        <f t="shared" ref="E13:E36" si="2">IF(D13&gt;($L$3-$L$5),($L$3-$L$5),IF(D13&lt;($L$4+$L$5),($L$4+$L$5),D13))</f>
        <v>1.9778043958118512</v>
      </c>
    </row>
    <row r="14" spans="2:13">
      <c r="B14" s="2">
        <v>1.2</v>
      </c>
      <c r="C14" s="2">
        <f t="shared" si="1"/>
        <v>0.46601954298361314</v>
      </c>
      <c r="D14" s="2">
        <f t="shared" si="0"/>
        <v>3.1878644918459234</v>
      </c>
      <c r="E14" s="2">
        <f t="shared" si="2"/>
        <v>3.1878644918459234</v>
      </c>
    </row>
    <row r="15" spans="2:13">
      <c r="B15" s="2">
        <v>2.2000000000000002</v>
      </c>
      <c r="C15" s="2">
        <f t="shared" si="1"/>
        <v>0.40424820190979505</v>
      </c>
      <c r="D15" s="2">
        <f t="shared" si="0"/>
        <v>2.9840190663023236</v>
      </c>
      <c r="E15" s="2">
        <f t="shared" si="2"/>
        <v>2.9840190663023236</v>
      </c>
    </row>
    <row r="16" spans="2:13">
      <c r="B16" s="2">
        <v>3.2</v>
      </c>
      <c r="C16" s="2">
        <f t="shared" si="1"/>
        <v>-2.9187071713790043E-2</v>
      </c>
      <c r="D16" s="2">
        <f t="shared" si="0"/>
        <v>1.5536826633444929</v>
      </c>
      <c r="E16" s="2">
        <f t="shared" si="2"/>
        <v>1.5536826633444929</v>
      </c>
    </row>
    <row r="17" spans="2:10">
      <c r="B17" s="2">
        <v>4.2</v>
      </c>
      <c r="C17" s="2">
        <f t="shared" si="1"/>
        <v>-0.4357878862067941</v>
      </c>
      <c r="D17" s="2">
        <f t="shared" si="0"/>
        <v>0.21189997551757947</v>
      </c>
      <c r="E17" s="2">
        <f t="shared" si="2"/>
        <v>1.2</v>
      </c>
    </row>
    <row r="18" spans="2:10">
      <c r="B18" s="2">
        <v>5.2</v>
      </c>
      <c r="C18" s="2">
        <f t="shared" si="1"/>
        <v>-0.44172732786007657</v>
      </c>
      <c r="D18" s="2">
        <f t="shared" si="0"/>
        <v>0.19229981806174731</v>
      </c>
      <c r="E18" s="2">
        <f t="shared" si="2"/>
        <v>1.2</v>
      </c>
    </row>
    <row r="19" spans="2:10">
      <c r="B19" s="2">
        <v>6.2</v>
      </c>
      <c r="C19" s="2">
        <f t="shared" si="1"/>
        <v>-4.1544701408748198E-2</v>
      </c>
      <c r="D19" s="2">
        <f t="shared" si="0"/>
        <v>1.5129024853511308</v>
      </c>
      <c r="E19" s="2">
        <f t="shared" si="2"/>
        <v>1.5129024853511308</v>
      </c>
    </row>
    <row r="20" spans="2:10">
      <c r="B20" s="2">
        <v>7.2</v>
      </c>
      <c r="C20" s="2">
        <f t="shared" si="1"/>
        <v>0.39683393192457656</v>
      </c>
      <c r="D20" s="2">
        <f t="shared" si="0"/>
        <v>2.9595519753511028</v>
      </c>
      <c r="E20" s="2">
        <f t="shared" si="2"/>
        <v>2.9595519753511028</v>
      </c>
    </row>
    <row r="21" spans="2:10">
      <c r="B21" s="2">
        <v>8.1999999999999993</v>
      </c>
      <c r="C21" s="2">
        <f t="shared" si="1"/>
        <v>0.47036527833988656</v>
      </c>
      <c r="D21" s="2">
        <f t="shared" si="0"/>
        <v>3.2022054185216255</v>
      </c>
      <c r="E21" s="2">
        <f t="shared" si="2"/>
        <v>3.2022054185216255</v>
      </c>
    </row>
    <row r="22" spans="2:10">
      <c r="B22" s="2">
        <v>9.1999999999999993</v>
      </c>
      <c r="C22" s="2">
        <f t="shared" si="1"/>
        <v>0.11144495705012382</v>
      </c>
      <c r="D22" s="2">
        <f t="shared" si="0"/>
        <v>2.0177683582654082</v>
      </c>
      <c r="E22" s="2">
        <f t="shared" si="2"/>
        <v>2.0177683582654082</v>
      </c>
    </row>
    <row r="23" spans="2:10">
      <c r="B23" s="2">
        <v>10.199999999999999</v>
      </c>
      <c r="C23" s="2">
        <f t="shared" si="1"/>
        <v>-0.34993734379677116</v>
      </c>
      <c r="D23" s="2">
        <f t="shared" si="0"/>
        <v>0.49520676547065512</v>
      </c>
      <c r="E23" s="2">
        <f t="shared" si="2"/>
        <v>1.2</v>
      </c>
    </row>
    <row r="24" spans="2:10">
      <c r="B24" s="2">
        <v>11.2</v>
      </c>
      <c r="C24" s="2">
        <f t="shared" si="1"/>
        <v>-0.4895888645756587</v>
      </c>
      <c r="D24" s="2">
        <f t="shared" si="0"/>
        <v>3.4356746900326286E-2</v>
      </c>
      <c r="E24" s="2">
        <f t="shared" si="2"/>
        <v>1.2</v>
      </c>
    </row>
    <row r="25" spans="2:10">
      <c r="B25" s="2">
        <v>12.2</v>
      </c>
      <c r="C25" s="2">
        <f t="shared" si="1"/>
        <v>-0.17911464111841435</v>
      </c>
      <c r="D25" s="2">
        <f t="shared" si="0"/>
        <v>1.0589216843092326</v>
      </c>
      <c r="E25" s="2">
        <f t="shared" si="2"/>
        <v>1.2</v>
      </c>
    </row>
    <row r="26" spans="2:10">
      <c r="B26" s="2">
        <v>13.2</v>
      </c>
      <c r="C26" s="2">
        <f t="shared" si="1"/>
        <v>0.29603675735361151</v>
      </c>
      <c r="D26" s="2">
        <f t="shared" si="0"/>
        <v>2.6269212992669182</v>
      </c>
      <c r="E26" s="2">
        <f t="shared" si="2"/>
        <v>2.6269212992669182</v>
      </c>
    </row>
    <row r="27" spans="2:10">
      <c r="B27" s="2">
        <v>14.2</v>
      </c>
      <c r="C27" s="2">
        <f t="shared" si="1"/>
        <v>0.49901332635818085</v>
      </c>
      <c r="D27" s="2">
        <f t="shared" si="0"/>
        <v>3.2967439769819968</v>
      </c>
      <c r="E27" s="2">
        <f t="shared" si="2"/>
        <v>3.2967439769819968</v>
      </c>
    </row>
    <row r="28" spans="2:10">
      <c r="B28" s="2">
        <v>15.2</v>
      </c>
      <c r="C28" s="2">
        <f t="shared" si="1"/>
        <v>0.24319934442689983</v>
      </c>
      <c r="D28" s="2">
        <f t="shared" si="0"/>
        <v>2.4525578366087695</v>
      </c>
      <c r="E28" s="2">
        <f t="shared" si="2"/>
        <v>2.4525578366087695</v>
      </c>
    </row>
    <row r="29" spans="2:10">
      <c r="B29" s="2">
        <v>16.2</v>
      </c>
      <c r="C29" s="2">
        <f t="shared" si="1"/>
        <v>-0.23621099319923308</v>
      </c>
      <c r="D29" s="2">
        <f t="shared" si="0"/>
        <v>0.87050372244253071</v>
      </c>
      <c r="E29" s="2">
        <f t="shared" si="2"/>
        <v>1.2</v>
      </c>
      <c r="G29" s="6" t="s">
        <v>65</v>
      </c>
    </row>
    <row r="30" spans="2:10">
      <c r="B30" s="2">
        <v>17.2</v>
      </c>
      <c r="C30" s="2">
        <f t="shared" si="1"/>
        <v>-0.49845003302079804</v>
      </c>
      <c r="D30" s="2">
        <f t="shared" si="0"/>
        <v>5.1148910313664527E-3</v>
      </c>
      <c r="E30" s="2">
        <f t="shared" si="2"/>
        <v>1.2</v>
      </c>
      <c r="G30" s="12" t="s">
        <v>64</v>
      </c>
      <c r="H30" s="12">
        <f>L3</f>
        <v>5</v>
      </c>
      <c r="I30" s="12" t="s">
        <v>17</v>
      </c>
      <c r="J30" s="13" t="str">
        <f>TRIM(G30)&amp;"   "&amp;IF(H30&gt;0,"+","")&amp;TRIM(H30)&amp;" "&amp;TRIM(I30)</f>
        <v>V+:   +5 V</v>
      </c>
    </row>
    <row r="31" spans="2:10">
      <c r="B31" s="2">
        <v>18.2</v>
      </c>
      <c r="C31" s="2">
        <f t="shared" si="1"/>
        <v>-0.30241641120314205</v>
      </c>
      <c r="D31" s="2">
        <f t="shared" si="0"/>
        <v>0.65202584302963118</v>
      </c>
      <c r="E31" s="2">
        <f t="shared" si="2"/>
        <v>1.2</v>
      </c>
      <c r="G31" s="12" t="s">
        <v>66</v>
      </c>
      <c r="H31" s="12">
        <f>L4</f>
        <v>0</v>
      </c>
      <c r="I31" s="12" t="s">
        <v>17</v>
      </c>
      <c r="J31" s="13" t="str">
        <f t="shared" ref="J31:J33" si="3">TRIM(G31)&amp;"   "&amp;IF(H31&gt;0,"+","")&amp;TRIM(H31)&amp;" "&amp;TRIM(I31)</f>
        <v>V-:   0 V</v>
      </c>
    </row>
    <row r="32" spans="2:10">
      <c r="B32" s="2">
        <v>19.2</v>
      </c>
      <c r="C32" s="2">
        <f t="shared" si="1"/>
        <v>0.1716574644099477</v>
      </c>
      <c r="D32" s="2">
        <f t="shared" si="0"/>
        <v>2.216469632552827</v>
      </c>
      <c r="E32" s="2">
        <f t="shared" si="2"/>
        <v>2.216469632552827</v>
      </c>
      <c r="G32" s="12" t="s">
        <v>29</v>
      </c>
      <c r="H32" s="12">
        <f>H11</f>
        <v>-0.4</v>
      </c>
      <c r="I32" s="12" t="s">
        <v>17</v>
      </c>
      <c r="J32" s="13" t="str">
        <f t="shared" si="3"/>
        <v>Vin:   -0.4 V</v>
      </c>
    </row>
    <row r="33" spans="2:10">
      <c r="B33" s="2">
        <v>20.2</v>
      </c>
      <c r="C33" s="2">
        <f t="shared" si="1"/>
        <v>0.48791025888348777</v>
      </c>
      <c r="D33" s="2">
        <f t="shared" si="0"/>
        <v>3.2601038543155099</v>
      </c>
      <c r="E33" s="2">
        <f t="shared" si="2"/>
        <v>3.2601038543155099</v>
      </c>
      <c r="G33" s="12" t="s">
        <v>69</v>
      </c>
      <c r="H33" s="12">
        <f>C2</f>
        <v>0.5</v>
      </c>
      <c r="I33" s="12" t="s">
        <v>17</v>
      </c>
      <c r="J33" s="13" t="str">
        <f t="shared" si="3"/>
        <v>Vb:   +0.5 V</v>
      </c>
    </row>
    <row r="34" spans="2:10">
      <c r="B34" s="2">
        <v>21.2</v>
      </c>
      <c r="C34" s="2">
        <f t="shared" si="1"/>
        <v>0.35558061145299119</v>
      </c>
      <c r="D34" s="2">
        <f t="shared" si="0"/>
        <v>2.8234160177948704</v>
      </c>
      <c r="E34" s="2">
        <f t="shared" si="2"/>
        <v>2.8234160177948704</v>
      </c>
      <c r="G34" s="12" t="s">
        <v>67</v>
      </c>
      <c r="H34" s="12">
        <f>F2</f>
        <v>1</v>
      </c>
      <c r="I34" s="12" t="s">
        <v>16</v>
      </c>
      <c r="J34" s="13" t="str">
        <f t="shared" ref="J34:J37" si="4">TRIM(G34)&amp;"   "&amp;TRIM(H34)&amp;" "&amp;TRIM(I34)</f>
        <v>R1:   1 K</v>
      </c>
    </row>
    <row r="35" spans="2:10">
      <c r="B35" s="2">
        <v>22.2</v>
      </c>
      <c r="C35" s="2">
        <f t="shared" si="1"/>
        <v>-0.10366821030337939</v>
      </c>
      <c r="D35" s="2">
        <f t="shared" si="0"/>
        <v>1.3078949059988481</v>
      </c>
      <c r="E35" s="2">
        <f t="shared" si="2"/>
        <v>1.3078949059988481</v>
      </c>
      <c r="G35" s="12" t="s">
        <v>72</v>
      </c>
      <c r="H35" s="12">
        <f>F3</f>
        <v>1</v>
      </c>
      <c r="I35" s="12" t="s">
        <v>16</v>
      </c>
      <c r="J35" s="13" t="str">
        <f t="shared" si="4"/>
        <v>R2:   1 K</v>
      </c>
    </row>
    <row r="36" spans="2:10">
      <c r="B36" s="2">
        <v>23.2</v>
      </c>
      <c r="C36" s="2">
        <f t="shared" si="1"/>
        <v>-0.46760495759726944</v>
      </c>
      <c r="D36" s="2">
        <f t="shared" si="0"/>
        <v>0.10690363992901084</v>
      </c>
      <c r="E36" s="2">
        <f t="shared" si="2"/>
        <v>1.2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06BCB-4EDD-4DF8-A8B7-AA7CCEBA7F09}">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203</v>
      </c>
    </row>
    <row r="2" spans="2:9" ht="15.75" thickBot="1">
      <c r="B2" s="2" t="s">
        <v>198</v>
      </c>
      <c r="C2" s="4">
        <v>2</v>
      </c>
      <c r="D2" s="2" t="s">
        <v>202</v>
      </c>
      <c r="G2" s="6" t="s">
        <v>36</v>
      </c>
    </row>
    <row r="3" spans="2:9" ht="15.75" thickBot="1">
      <c r="B3" s="2" t="s">
        <v>15</v>
      </c>
      <c r="C3" s="4">
        <v>2000</v>
      </c>
      <c r="D3" s="2" t="s">
        <v>16</v>
      </c>
      <c r="G3" s="2" t="s">
        <v>9</v>
      </c>
      <c r="H3" s="4">
        <v>10</v>
      </c>
      <c r="I3" s="2" t="s">
        <v>18</v>
      </c>
    </row>
    <row r="4" spans="2:9" ht="15.75" thickBot="1">
      <c r="G4" s="2" t="s">
        <v>10</v>
      </c>
      <c r="H4" s="5">
        <v>0</v>
      </c>
      <c r="I4" s="2" t="s">
        <v>19</v>
      </c>
    </row>
    <row r="5" spans="2:9" ht="15.75" thickBot="1">
      <c r="G5" s="2" t="s">
        <v>31</v>
      </c>
      <c r="H5" s="4">
        <v>0</v>
      </c>
      <c r="I5" s="2" t="s">
        <v>32</v>
      </c>
    </row>
    <row r="6" spans="2:9">
      <c r="C6" s="3"/>
    </row>
    <row r="8" spans="2:9" ht="15.75" thickBot="1">
      <c r="E8" s="6" t="s">
        <v>30</v>
      </c>
      <c r="G8" s="6" t="s">
        <v>33</v>
      </c>
    </row>
    <row r="9" spans="2:9" ht="15.75" thickBot="1">
      <c r="B9" s="7" t="s">
        <v>6</v>
      </c>
      <c r="C9" s="7" t="s">
        <v>201</v>
      </c>
      <c r="D9" s="7" t="s">
        <v>3</v>
      </c>
      <c r="E9" s="7" t="s">
        <v>3</v>
      </c>
      <c r="G9" s="6" t="s">
        <v>197</v>
      </c>
      <c r="H9" s="4">
        <v>2</v>
      </c>
      <c r="I9" s="2" t="s">
        <v>199</v>
      </c>
    </row>
    <row r="10" spans="2:9">
      <c r="B10" s="2">
        <v>0</v>
      </c>
      <c r="C10" s="2">
        <f t="shared" ref="C10:C35" si="0">($C$2/2)*(1+SIN($B10))</f>
        <v>1</v>
      </c>
      <c r="D10" s="2">
        <f>$C$3*(C10/1000)</f>
        <v>2</v>
      </c>
      <c r="E10" s="2">
        <f t="shared" ref="E10:E35" si="1">IF(D10&gt;($H$3-$H$5),($H$3-$H$5),IF(D10&lt;($H$4+$H$5),($H$4+$H$5),D10))</f>
        <v>2</v>
      </c>
      <c r="G10" s="6" t="s">
        <v>34</v>
      </c>
      <c r="H10" s="3">
        <f>IF(C3*(H9/1000)&gt;($H$3-$H$5),($H$3-$H$5),IF(C3*(H9/1000)&lt;($H$4+$H$5),($H$4+$H$5),C3*(H9/1000)))</f>
        <v>4</v>
      </c>
      <c r="I10" s="2" t="s">
        <v>17</v>
      </c>
    </row>
    <row r="11" spans="2:9">
      <c r="B11" s="2">
        <v>0.1</v>
      </c>
      <c r="C11" s="2">
        <f t="shared" si="0"/>
        <v>1.0998334166468282</v>
      </c>
      <c r="D11" s="2">
        <f>$C$3*(C11/1000)</f>
        <v>2.1996668332936564</v>
      </c>
      <c r="E11" s="2">
        <f t="shared" si="1"/>
        <v>2.1996668332936564</v>
      </c>
    </row>
    <row r="12" spans="2:9">
      <c r="B12" s="2">
        <v>0.2</v>
      </c>
      <c r="C12" s="2">
        <f t="shared" si="0"/>
        <v>1.1986693307950613</v>
      </c>
      <c r="D12" s="2">
        <f t="shared" ref="D12:D35" si="2">$C$3*(C12/1000)</f>
        <v>2.3973386615901227</v>
      </c>
      <c r="E12" s="2">
        <f t="shared" si="1"/>
        <v>2.3973386615901227</v>
      </c>
    </row>
    <row r="13" spans="2:9">
      <c r="B13" s="2">
        <v>1.2</v>
      </c>
      <c r="C13" s="2">
        <f t="shared" si="0"/>
        <v>1.9320390859672263</v>
      </c>
      <c r="D13" s="2">
        <f t="shared" si="2"/>
        <v>3.8640781719344526</v>
      </c>
      <c r="E13" s="2">
        <f t="shared" si="1"/>
        <v>3.8640781719344526</v>
      </c>
    </row>
    <row r="14" spans="2:9">
      <c r="B14" s="2">
        <v>2.2000000000000002</v>
      </c>
      <c r="C14" s="2">
        <f t="shared" si="0"/>
        <v>1.8084964038195901</v>
      </c>
      <c r="D14" s="2">
        <f t="shared" si="2"/>
        <v>3.6169928076391802</v>
      </c>
      <c r="E14" s="2">
        <f t="shared" si="1"/>
        <v>3.6169928076391802</v>
      </c>
    </row>
    <row r="15" spans="2:9">
      <c r="B15" s="2">
        <v>3.2</v>
      </c>
      <c r="C15" s="2">
        <f t="shared" si="0"/>
        <v>0.94162585657241993</v>
      </c>
      <c r="D15" s="2">
        <f t="shared" si="2"/>
        <v>1.8832517131448399</v>
      </c>
      <c r="E15" s="2">
        <f t="shared" si="1"/>
        <v>1.8832517131448399</v>
      </c>
    </row>
    <row r="16" spans="2:9">
      <c r="B16" s="2">
        <v>4.2</v>
      </c>
      <c r="C16" s="2">
        <f t="shared" si="0"/>
        <v>0.12842422758641181</v>
      </c>
      <c r="D16" s="2">
        <f t="shared" si="2"/>
        <v>0.25684845517282362</v>
      </c>
      <c r="E16" s="2">
        <f t="shared" si="1"/>
        <v>0.25684845517282362</v>
      </c>
    </row>
    <row r="17" spans="2:10">
      <c r="B17" s="2">
        <v>5.2</v>
      </c>
      <c r="C17" s="2">
        <f t="shared" si="0"/>
        <v>0.11654534427984686</v>
      </c>
      <c r="D17" s="2">
        <f t="shared" si="2"/>
        <v>0.23309068855969373</v>
      </c>
      <c r="E17" s="2">
        <f t="shared" si="1"/>
        <v>0.23309068855969373</v>
      </c>
    </row>
    <row r="18" spans="2:10">
      <c r="B18" s="2">
        <v>6.2</v>
      </c>
      <c r="C18" s="2">
        <f t="shared" si="0"/>
        <v>0.91691059718250356</v>
      </c>
      <c r="D18" s="2">
        <f t="shared" si="2"/>
        <v>1.8338211943650071</v>
      </c>
      <c r="E18" s="2">
        <f t="shared" si="1"/>
        <v>1.8338211943650071</v>
      </c>
    </row>
    <row r="19" spans="2:10">
      <c r="B19" s="2">
        <v>7.2</v>
      </c>
      <c r="C19" s="2">
        <f t="shared" si="0"/>
        <v>1.7936678638491532</v>
      </c>
      <c r="D19" s="2">
        <f t="shared" si="2"/>
        <v>3.5873357276983064</v>
      </c>
      <c r="E19" s="2">
        <f t="shared" si="1"/>
        <v>3.5873357276983064</v>
      </c>
    </row>
    <row r="20" spans="2:10">
      <c r="B20" s="2">
        <v>8.1999999999999993</v>
      </c>
      <c r="C20" s="2">
        <f t="shared" si="0"/>
        <v>1.9407305566797732</v>
      </c>
      <c r="D20" s="2">
        <f t="shared" si="2"/>
        <v>3.8814611133595465</v>
      </c>
      <c r="E20" s="2">
        <f t="shared" si="1"/>
        <v>3.8814611133595465</v>
      </c>
    </row>
    <row r="21" spans="2:10">
      <c r="B21" s="2">
        <v>9.1999999999999993</v>
      </c>
      <c r="C21" s="2">
        <f t="shared" si="0"/>
        <v>1.2228899141002476</v>
      </c>
      <c r="D21" s="2">
        <f t="shared" si="2"/>
        <v>2.4457798282004952</v>
      </c>
      <c r="E21" s="2">
        <f t="shared" si="1"/>
        <v>2.4457798282004952</v>
      </c>
    </row>
    <row r="22" spans="2:10">
      <c r="B22" s="2">
        <v>10.199999999999999</v>
      </c>
      <c r="C22" s="2">
        <f t="shared" si="0"/>
        <v>0.30012531240645768</v>
      </c>
      <c r="D22" s="2">
        <f t="shared" si="2"/>
        <v>0.60025062481291536</v>
      </c>
      <c r="E22" s="2">
        <f t="shared" si="1"/>
        <v>0.60025062481291536</v>
      </c>
    </row>
    <row r="23" spans="2:10">
      <c r="B23" s="2">
        <v>11.2</v>
      </c>
      <c r="C23" s="2">
        <f t="shared" si="0"/>
        <v>2.08222708486826E-2</v>
      </c>
      <c r="D23" s="2">
        <f t="shared" si="2"/>
        <v>4.1644541697365201E-2</v>
      </c>
      <c r="E23" s="2">
        <f t="shared" si="1"/>
        <v>4.1644541697365201E-2</v>
      </c>
    </row>
    <row r="24" spans="2:10">
      <c r="B24" s="2">
        <v>12.2</v>
      </c>
      <c r="C24" s="2">
        <f t="shared" si="0"/>
        <v>0.64177071776317129</v>
      </c>
      <c r="D24" s="2">
        <f t="shared" si="2"/>
        <v>1.2835414355263426</v>
      </c>
      <c r="E24" s="2">
        <f t="shared" si="1"/>
        <v>1.2835414355263426</v>
      </c>
    </row>
    <row r="25" spans="2:10">
      <c r="B25" s="2">
        <v>13.2</v>
      </c>
      <c r="C25" s="2">
        <f t="shared" si="0"/>
        <v>1.5920735147072231</v>
      </c>
      <c r="D25" s="2">
        <f t="shared" si="2"/>
        <v>3.1841470294144463</v>
      </c>
      <c r="E25" s="2">
        <f t="shared" si="1"/>
        <v>3.1841470294144463</v>
      </c>
    </row>
    <row r="26" spans="2:10">
      <c r="B26" s="2">
        <v>14.2</v>
      </c>
      <c r="C26" s="2">
        <f t="shared" si="0"/>
        <v>1.9980266527163617</v>
      </c>
      <c r="D26" s="2">
        <f t="shared" si="2"/>
        <v>3.9960533054327239</v>
      </c>
      <c r="E26" s="2">
        <f t="shared" si="1"/>
        <v>3.9960533054327239</v>
      </c>
    </row>
    <row r="27" spans="2:10">
      <c r="B27" s="2">
        <v>15.2</v>
      </c>
      <c r="C27" s="2">
        <f t="shared" si="0"/>
        <v>1.4863986888537997</v>
      </c>
      <c r="D27" s="2">
        <f t="shared" si="2"/>
        <v>2.9727973777075993</v>
      </c>
      <c r="E27" s="2">
        <f t="shared" si="1"/>
        <v>2.9727973777075993</v>
      </c>
    </row>
    <row r="28" spans="2:10">
      <c r="B28" s="2">
        <v>16.2</v>
      </c>
      <c r="C28" s="2">
        <f t="shared" si="0"/>
        <v>0.52757801360153378</v>
      </c>
      <c r="D28" s="2">
        <f t="shared" si="2"/>
        <v>1.0551560272030676</v>
      </c>
      <c r="E28" s="2">
        <f t="shared" si="1"/>
        <v>1.0551560272030676</v>
      </c>
    </row>
    <row r="29" spans="2:10">
      <c r="B29" s="2">
        <v>17.2</v>
      </c>
      <c r="C29" s="2">
        <f t="shared" si="0"/>
        <v>3.0999339584039109E-3</v>
      </c>
      <c r="D29" s="2">
        <f t="shared" si="2"/>
        <v>6.1998679168078219E-3</v>
      </c>
      <c r="E29" s="2">
        <f t="shared" si="1"/>
        <v>6.1998679168078219E-3</v>
      </c>
      <c r="G29" s="6" t="s">
        <v>65</v>
      </c>
    </row>
    <row r="30" spans="2:10">
      <c r="B30" s="2">
        <v>18.2</v>
      </c>
      <c r="C30" s="2">
        <f t="shared" si="0"/>
        <v>0.39516717759371589</v>
      </c>
      <c r="D30" s="2">
        <f t="shared" si="2"/>
        <v>0.79033435518743178</v>
      </c>
      <c r="E30" s="2">
        <f t="shared" si="1"/>
        <v>0.79033435518743178</v>
      </c>
      <c r="G30" s="12" t="s">
        <v>64</v>
      </c>
      <c r="H30" s="12">
        <f>H3</f>
        <v>10</v>
      </c>
      <c r="I30" s="12" t="s">
        <v>17</v>
      </c>
      <c r="J30" s="13" t="str">
        <f>TRIM(G30)&amp;"   "&amp;IF(H30&gt;0,"+","")&amp;TRIM(H30)&amp;" "&amp;TRIM(I30)</f>
        <v>V+:   +10 V</v>
      </c>
    </row>
    <row r="31" spans="2:10">
      <c r="B31" s="2">
        <v>19.2</v>
      </c>
      <c r="C31" s="2">
        <f t="shared" si="0"/>
        <v>1.3433149288198953</v>
      </c>
      <c r="D31" s="2">
        <f t="shared" si="2"/>
        <v>2.6866298576397907</v>
      </c>
      <c r="E31" s="2">
        <f t="shared" si="1"/>
        <v>2.6866298576397907</v>
      </c>
      <c r="G31" s="12" t="s">
        <v>66</v>
      </c>
      <c r="H31" s="12">
        <f>H4</f>
        <v>0</v>
      </c>
      <c r="I31" s="12" t="s">
        <v>17</v>
      </c>
      <c r="J31" s="13" t="str">
        <f t="shared" ref="J31:J32" si="3">TRIM(G31)&amp;"   "&amp;IF(H31&gt;0,"+","")&amp;TRIM(H31)&amp;" "&amp;TRIM(I31)</f>
        <v>V-:   0 V</v>
      </c>
    </row>
    <row r="32" spans="2:10">
      <c r="B32" s="2">
        <v>20.2</v>
      </c>
      <c r="C32" s="2">
        <f t="shared" si="0"/>
        <v>1.9758205177669756</v>
      </c>
      <c r="D32" s="2">
        <f t="shared" si="2"/>
        <v>3.9516410355339513</v>
      </c>
      <c r="E32" s="2">
        <f t="shared" si="1"/>
        <v>3.9516410355339513</v>
      </c>
      <c r="G32" s="12" t="s">
        <v>200</v>
      </c>
      <c r="H32" s="12">
        <f>H9</f>
        <v>2</v>
      </c>
      <c r="I32" s="12" t="s">
        <v>199</v>
      </c>
      <c r="J32" s="13" t="str">
        <f t="shared" si="3"/>
        <v>Iin:   +2 µA</v>
      </c>
    </row>
    <row r="33" spans="2:10">
      <c r="B33" s="2">
        <v>21.2</v>
      </c>
      <c r="C33" s="2">
        <f t="shared" si="0"/>
        <v>1.7111612229059823</v>
      </c>
      <c r="D33" s="2">
        <f t="shared" si="2"/>
        <v>3.4223224458119645</v>
      </c>
      <c r="E33" s="2">
        <f t="shared" si="1"/>
        <v>3.4223224458119645</v>
      </c>
      <c r="G33" s="12" t="s">
        <v>68</v>
      </c>
      <c r="H33" s="12">
        <f>C3</f>
        <v>2000</v>
      </c>
      <c r="I33" s="12" t="s">
        <v>16</v>
      </c>
      <c r="J33" s="13" t="str">
        <f>TRIM(G33)&amp;"   "&amp;TRIM(H33)&amp;" "&amp;TRIM(I33)</f>
        <v>RF:   2000 K</v>
      </c>
    </row>
    <row r="34" spans="2:10">
      <c r="B34" s="2">
        <v>22.2</v>
      </c>
      <c r="C34" s="2">
        <f t="shared" si="0"/>
        <v>0.79266357939324128</v>
      </c>
      <c r="D34" s="2">
        <f t="shared" si="2"/>
        <v>1.5853271587864826</v>
      </c>
      <c r="E34" s="2">
        <f t="shared" si="1"/>
        <v>1.5853271587864826</v>
      </c>
    </row>
    <row r="35" spans="2:10">
      <c r="B35" s="2">
        <v>23.2</v>
      </c>
      <c r="C35" s="2">
        <f t="shared" si="0"/>
        <v>6.4790084805461112E-2</v>
      </c>
      <c r="D35" s="2">
        <f t="shared" si="2"/>
        <v>0.12958016961092222</v>
      </c>
      <c r="E35" s="2">
        <f t="shared" si="1"/>
        <v>0.12958016961092222</v>
      </c>
    </row>
  </sheetData>
  <pageMargins left="0.7" right="0.7" top="0.75" bottom="0.75" header="0.3" footer="0.3"/>
  <pageSetup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59979F-0260-4407-A5B5-B78939C21AA2}">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204</v>
      </c>
    </row>
    <row r="2" spans="2:9" ht="15.75" thickBot="1">
      <c r="B2" s="2" t="s">
        <v>198</v>
      </c>
      <c r="C2" s="4">
        <v>10</v>
      </c>
      <c r="D2" s="2" t="s">
        <v>202</v>
      </c>
      <c r="G2" s="6" t="s">
        <v>36</v>
      </c>
    </row>
    <row r="3" spans="2:9" ht="15.75" thickBot="1">
      <c r="B3" s="2" t="s">
        <v>15</v>
      </c>
      <c r="C3" s="4">
        <v>75</v>
      </c>
      <c r="D3" s="2" t="s">
        <v>16</v>
      </c>
      <c r="G3" s="2" t="s">
        <v>9</v>
      </c>
      <c r="H3" s="4">
        <v>9</v>
      </c>
      <c r="I3" s="2" t="s">
        <v>18</v>
      </c>
    </row>
    <row r="4" spans="2:9" ht="15.75" thickBot="1">
      <c r="B4" s="2" t="s">
        <v>11</v>
      </c>
      <c r="C4" s="4">
        <v>4.5</v>
      </c>
      <c r="D4" s="2" t="s">
        <v>17</v>
      </c>
      <c r="G4" s="2" t="s">
        <v>10</v>
      </c>
      <c r="H4" s="5">
        <v>0</v>
      </c>
      <c r="I4" s="2" t="s">
        <v>19</v>
      </c>
    </row>
    <row r="5" spans="2:9" ht="15.75" thickBot="1">
      <c r="G5" s="2" t="s">
        <v>31</v>
      </c>
      <c r="H5" s="4">
        <v>1.3</v>
      </c>
      <c r="I5" s="2" t="s">
        <v>32</v>
      </c>
    </row>
    <row r="6" spans="2:9">
      <c r="C6" s="3"/>
    </row>
    <row r="8" spans="2:9" ht="15.75" thickBot="1">
      <c r="E8" s="6" t="s">
        <v>30</v>
      </c>
      <c r="G8" s="6" t="s">
        <v>33</v>
      </c>
    </row>
    <row r="9" spans="2:9" ht="15.75" thickBot="1">
      <c r="B9" s="7" t="s">
        <v>6</v>
      </c>
      <c r="C9" s="7" t="s">
        <v>201</v>
      </c>
      <c r="D9" s="7" t="s">
        <v>3</v>
      </c>
      <c r="E9" s="7" t="s">
        <v>3</v>
      </c>
      <c r="G9" s="6" t="s">
        <v>197</v>
      </c>
      <c r="H9" s="4">
        <v>5</v>
      </c>
      <c r="I9" s="2" t="s">
        <v>199</v>
      </c>
    </row>
    <row r="10" spans="2:9">
      <c r="B10" s="2">
        <v>0</v>
      </c>
      <c r="C10" s="2">
        <f t="shared" ref="C10:C35" si="0">($C$2/2)*(1+SIN($B10))</f>
        <v>5</v>
      </c>
      <c r="D10" s="2">
        <f t="shared" ref="D10:D35" si="1">$C$3*(C10/1000)+$C$4</f>
        <v>4.875</v>
      </c>
      <c r="E10" s="2">
        <f t="shared" ref="E10:E35" si="2">IF(D10&gt;($H$3-$H$5),($H$3-$H$5),IF(D10&lt;($H$4+$H$5),($H$4+$H$5),D10))</f>
        <v>4.875</v>
      </c>
      <c r="G10" s="6" t="s">
        <v>34</v>
      </c>
      <c r="H10" s="3">
        <f>IF(C3*(H9/1000)+C4&gt;($H$3-$H$5),($H$3-$H$5),IF(C3*(H9/1000)+C4&lt;($H$4+$H$5),($H$4+$H$5),C3*(H9/1000)+C4))</f>
        <v>4.875</v>
      </c>
      <c r="I10" s="2" t="s">
        <v>17</v>
      </c>
    </row>
    <row r="11" spans="2:9">
      <c r="B11" s="2">
        <v>0.1</v>
      </c>
      <c r="C11" s="2">
        <f t="shared" si="0"/>
        <v>5.4991670832341413</v>
      </c>
      <c r="D11" s="2">
        <f t="shared" si="1"/>
        <v>4.9124375312425608</v>
      </c>
      <c r="E11" s="2">
        <f t="shared" si="2"/>
        <v>4.9124375312425608</v>
      </c>
    </row>
    <row r="12" spans="2:9">
      <c r="B12" s="2">
        <v>0.2</v>
      </c>
      <c r="C12" s="2">
        <f t="shared" si="0"/>
        <v>5.9933466539753066</v>
      </c>
      <c r="D12" s="2">
        <f t="shared" si="1"/>
        <v>4.9495009990481478</v>
      </c>
      <c r="E12" s="2">
        <f t="shared" si="2"/>
        <v>4.9495009990481478</v>
      </c>
    </row>
    <row r="13" spans="2:9">
      <c r="B13" s="2">
        <v>1.2</v>
      </c>
      <c r="C13" s="2">
        <f t="shared" si="0"/>
        <v>9.660195429836131</v>
      </c>
      <c r="D13" s="2">
        <f t="shared" si="1"/>
        <v>5.2245146572377097</v>
      </c>
      <c r="E13" s="2">
        <f t="shared" si="2"/>
        <v>5.2245146572377097</v>
      </c>
    </row>
    <row r="14" spans="2:9">
      <c r="B14" s="2">
        <v>2.2000000000000002</v>
      </c>
      <c r="C14" s="2">
        <f t="shared" si="0"/>
        <v>9.0424820190979496</v>
      </c>
      <c r="D14" s="2">
        <f t="shared" si="1"/>
        <v>5.178186151432346</v>
      </c>
      <c r="E14" s="2">
        <f t="shared" si="2"/>
        <v>5.178186151432346</v>
      </c>
    </row>
    <row r="15" spans="2:9">
      <c r="B15" s="2">
        <v>3.2</v>
      </c>
      <c r="C15" s="2">
        <f t="shared" si="0"/>
        <v>4.7081292828620995</v>
      </c>
      <c r="D15" s="2">
        <f t="shared" si="1"/>
        <v>4.8531096962146574</v>
      </c>
      <c r="E15" s="2">
        <f t="shared" si="2"/>
        <v>4.8531096962146574</v>
      </c>
    </row>
    <row r="16" spans="2:9">
      <c r="B16" s="2">
        <v>4.2</v>
      </c>
      <c r="C16" s="2">
        <f t="shared" si="0"/>
        <v>0.64212113793205905</v>
      </c>
      <c r="D16" s="2">
        <f t="shared" si="1"/>
        <v>4.5481590853449045</v>
      </c>
      <c r="E16" s="2">
        <f t="shared" si="2"/>
        <v>4.5481590853449045</v>
      </c>
    </row>
    <row r="17" spans="2:10">
      <c r="B17" s="2">
        <v>5.2</v>
      </c>
      <c r="C17" s="2">
        <f t="shared" si="0"/>
        <v>0.58272672139923432</v>
      </c>
      <c r="D17" s="2">
        <f t="shared" si="1"/>
        <v>4.5437045041049426</v>
      </c>
      <c r="E17" s="2">
        <f t="shared" si="2"/>
        <v>4.5437045041049426</v>
      </c>
    </row>
    <row r="18" spans="2:10">
      <c r="B18" s="2">
        <v>6.2</v>
      </c>
      <c r="C18" s="2">
        <f t="shared" si="0"/>
        <v>4.5845529859125183</v>
      </c>
      <c r="D18" s="2">
        <f t="shared" si="1"/>
        <v>4.8438414739434386</v>
      </c>
      <c r="E18" s="2">
        <f t="shared" si="2"/>
        <v>4.8438414739434386</v>
      </c>
    </row>
    <row r="19" spans="2:10">
      <c r="B19" s="2">
        <v>7.2</v>
      </c>
      <c r="C19" s="2">
        <f t="shared" si="0"/>
        <v>8.9683393192457661</v>
      </c>
      <c r="D19" s="2">
        <f t="shared" si="1"/>
        <v>5.1726254489434327</v>
      </c>
      <c r="E19" s="2">
        <f t="shared" si="2"/>
        <v>5.1726254489434327</v>
      </c>
    </row>
    <row r="20" spans="2:10">
      <c r="B20" s="2">
        <v>8.1999999999999993</v>
      </c>
      <c r="C20" s="2">
        <f t="shared" si="0"/>
        <v>9.7036527833988657</v>
      </c>
      <c r="D20" s="2">
        <f t="shared" si="1"/>
        <v>5.2277739587549146</v>
      </c>
      <c r="E20" s="2">
        <f t="shared" si="2"/>
        <v>5.2277739587549146</v>
      </c>
    </row>
    <row r="21" spans="2:10">
      <c r="B21" s="2">
        <v>9.1999999999999993</v>
      </c>
      <c r="C21" s="2">
        <f t="shared" si="0"/>
        <v>6.1144495705012378</v>
      </c>
      <c r="D21" s="2">
        <f t="shared" si="1"/>
        <v>4.9585837177875929</v>
      </c>
      <c r="E21" s="2">
        <f t="shared" si="2"/>
        <v>4.9585837177875929</v>
      </c>
    </row>
    <row r="22" spans="2:10">
      <c r="B22" s="2">
        <v>10.199999999999999</v>
      </c>
      <c r="C22" s="2">
        <f t="shared" si="0"/>
        <v>1.5006265620322883</v>
      </c>
      <c r="D22" s="2">
        <f t="shared" si="1"/>
        <v>4.6125469921524216</v>
      </c>
      <c r="E22" s="2">
        <f t="shared" si="2"/>
        <v>4.6125469921524216</v>
      </c>
    </row>
    <row r="23" spans="2:10">
      <c r="B23" s="2">
        <v>11.2</v>
      </c>
      <c r="C23" s="2">
        <f t="shared" si="0"/>
        <v>0.104111354243413</v>
      </c>
      <c r="D23" s="2">
        <f t="shared" si="1"/>
        <v>4.5078083515682561</v>
      </c>
      <c r="E23" s="2">
        <f t="shared" si="2"/>
        <v>4.5078083515682561</v>
      </c>
    </row>
    <row r="24" spans="2:10">
      <c r="B24" s="2">
        <v>12.2</v>
      </c>
      <c r="C24" s="2">
        <f t="shared" si="0"/>
        <v>3.2088535888158565</v>
      </c>
      <c r="D24" s="2">
        <f t="shared" si="1"/>
        <v>4.7406640191611888</v>
      </c>
      <c r="E24" s="2">
        <f t="shared" si="2"/>
        <v>4.7406640191611888</v>
      </c>
    </row>
    <row r="25" spans="2:10">
      <c r="B25" s="2">
        <v>13.2</v>
      </c>
      <c r="C25" s="2">
        <f t="shared" si="0"/>
        <v>7.9603675735361161</v>
      </c>
      <c r="D25" s="2">
        <f t="shared" si="1"/>
        <v>5.0970275680152088</v>
      </c>
      <c r="E25" s="2">
        <f t="shared" si="2"/>
        <v>5.0970275680152088</v>
      </c>
    </row>
    <row r="26" spans="2:10">
      <c r="B26" s="2">
        <v>14.2</v>
      </c>
      <c r="C26" s="2">
        <f t="shared" si="0"/>
        <v>9.990133263581809</v>
      </c>
      <c r="D26" s="2">
        <f t="shared" si="1"/>
        <v>5.2492599947686358</v>
      </c>
      <c r="E26" s="2">
        <f t="shared" si="2"/>
        <v>5.2492599947686358</v>
      </c>
    </row>
    <row r="27" spans="2:10">
      <c r="B27" s="2">
        <v>15.2</v>
      </c>
      <c r="C27" s="2">
        <f t="shared" si="0"/>
        <v>7.4319934442689988</v>
      </c>
      <c r="D27" s="2">
        <f t="shared" si="1"/>
        <v>5.0573995083201746</v>
      </c>
      <c r="E27" s="2">
        <f t="shared" si="2"/>
        <v>5.0573995083201746</v>
      </c>
    </row>
    <row r="28" spans="2:10">
      <c r="B28" s="2">
        <v>16.2</v>
      </c>
      <c r="C28" s="2">
        <f t="shared" si="0"/>
        <v>2.6378900680076689</v>
      </c>
      <c r="D28" s="2">
        <f t="shared" si="1"/>
        <v>4.6978417551005753</v>
      </c>
      <c r="E28" s="2">
        <f t="shared" si="2"/>
        <v>4.6978417551005753</v>
      </c>
    </row>
    <row r="29" spans="2:10">
      <c r="B29" s="2">
        <v>17.2</v>
      </c>
      <c r="C29" s="2">
        <f t="shared" si="0"/>
        <v>1.5499669792019555E-2</v>
      </c>
      <c r="D29" s="2">
        <f t="shared" si="1"/>
        <v>4.5011624752344011</v>
      </c>
      <c r="E29" s="2">
        <f t="shared" si="2"/>
        <v>4.5011624752344011</v>
      </c>
      <c r="G29" s="6" t="s">
        <v>65</v>
      </c>
    </row>
    <row r="30" spans="2:10">
      <c r="B30" s="2">
        <v>18.2</v>
      </c>
      <c r="C30" s="2">
        <f t="shared" si="0"/>
        <v>1.9758358879685796</v>
      </c>
      <c r="D30" s="2">
        <f t="shared" si="1"/>
        <v>4.6481876915976432</v>
      </c>
      <c r="E30" s="2">
        <f t="shared" si="2"/>
        <v>4.6481876915976432</v>
      </c>
      <c r="G30" s="12" t="s">
        <v>64</v>
      </c>
      <c r="H30" s="12">
        <f>H3</f>
        <v>9</v>
      </c>
      <c r="I30" s="12" t="s">
        <v>17</v>
      </c>
      <c r="J30" s="13" t="str">
        <f>TRIM(G30)&amp;"   "&amp;IF(H30&gt;0,"+","")&amp;TRIM(H30)&amp;" "&amp;TRIM(I30)</f>
        <v>V+:   +9 V</v>
      </c>
    </row>
    <row r="31" spans="2:10">
      <c r="B31" s="2">
        <v>19.2</v>
      </c>
      <c r="C31" s="2">
        <f t="shared" si="0"/>
        <v>6.7165746440994765</v>
      </c>
      <c r="D31" s="2">
        <f t="shared" si="1"/>
        <v>5.0037430983074609</v>
      </c>
      <c r="E31" s="2">
        <f t="shared" si="2"/>
        <v>5.0037430983074609</v>
      </c>
      <c r="G31" s="12" t="s">
        <v>66</v>
      </c>
      <c r="H31" s="12">
        <f>H4</f>
        <v>0</v>
      </c>
      <c r="I31" s="12" t="s">
        <v>17</v>
      </c>
      <c r="J31" s="13" t="str">
        <f t="shared" ref="J31:J32" si="3">TRIM(G31)&amp;"   "&amp;IF(H31&gt;0,"+","")&amp;TRIM(H31)&amp;" "&amp;TRIM(I31)</f>
        <v>V-:   0 V</v>
      </c>
    </row>
    <row r="32" spans="2:10">
      <c r="B32" s="2">
        <v>20.2</v>
      </c>
      <c r="C32" s="2">
        <f t="shared" si="0"/>
        <v>9.8791025888348791</v>
      </c>
      <c r="D32" s="2">
        <f t="shared" si="1"/>
        <v>5.2409326941626162</v>
      </c>
      <c r="E32" s="2">
        <f t="shared" si="2"/>
        <v>5.2409326941626162</v>
      </c>
      <c r="G32" s="12" t="s">
        <v>200</v>
      </c>
      <c r="H32" s="12">
        <f>H9</f>
        <v>5</v>
      </c>
      <c r="I32" s="12" t="s">
        <v>199</v>
      </c>
      <c r="J32" s="13" t="str">
        <f t="shared" si="3"/>
        <v>Iin:   +5 µA</v>
      </c>
    </row>
    <row r="33" spans="2:10">
      <c r="B33" s="2">
        <v>21.2</v>
      </c>
      <c r="C33" s="2">
        <f t="shared" si="0"/>
        <v>8.5558061145299114</v>
      </c>
      <c r="D33" s="2">
        <f t="shared" si="1"/>
        <v>5.1416854585897429</v>
      </c>
      <c r="E33" s="2">
        <f t="shared" si="2"/>
        <v>5.1416854585897429</v>
      </c>
      <c r="G33" s="12" t="s">
        <v>68</v>
      </c>
      <c r="H33" s="12">
        <f>C3</f>
        <v>75</v>
      </c>
      <c r="I33" s="12" t="s">
        <v>16</v>
      </c>
      <c r="J33" s="13" t="str">
        <f>TRIM(G33)&amp;"   "&amp;TRIM(H33)&amp;" "&amp;TRIM(I33)</f>
        <v>RF:   75 K</v>
      </c>
    </row>
    <row r="34" spans="2:10">
      <c r="B34" s="2">
        <v>22.2</v>
      </c>
      <c r="C34" s="2">
        <f t="shared" si="0"/>
        <v>3.9633178969662062</v>
      </c>
      <c r="D34" s="2">
        <f t="shared" si="1"/>
        <v>4.7972488422724657</v>
      </c>
      <c r="E34" s="2">
        <f t="shared" si="2"/>
        <v>4.7972488422724657</v>
      </c>
    </row>
    <row r="35" spans="2:10">
      <c r="B35" s="2">
        <v>23.2</v>
      </c>
      <c r="C35" s="2">
        <f t="shared" si="0"/>
        <v>0.32395042402730556</v>
      </c>
      <c r="D35" s="2">
        <f t="shared" si="1"/>
        <v>4.524296281802048</v>
      </c>
      <c r="E35" s="2">
        <f t="shared" si="2"/>
        <v>4.524296281802048</v>
      </c>
    </row>
  </sheetData>
  <pageMargins left="0.7" right="0.7" top="0.75" bottom="0.75" header="0.3" footer="0.3"/>
  <pageSetup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A3108-A4E3-4A65-AD8E-3CC18449D39A}">
  <dimension ref="B1:L14"/>
  <sheetViews>
    <sheetView zoomScale="85" zoomScaleNormal="85" workbookViewId="0">
      <selection activeCell="B3" sqref="B3"/>
    </sheetView>
  </sheetViews>
  <sheetFormatPr defaultColWidth="9.140625" defaultRowHeight="114" customHeight="1"/>
  <cols>
    <col min="1" max="1" width="5.7109375" style="18" customWidth="1"/>
    <col min="2" max="2" width="16.7109375" style="18" customWidth="1"/>
    <col min="3" max="3" width="36.42578125" style="18" customWidth="1"/>
    <col min="4" max="4" width="10.5703125" style="18" customWidth="1"/>
    <col min="5" max="5" width="11.28515625" style="18" customWidth="1"/>
    <col min="6" max="9" width="9.140625" style="18"/>
    <col min="10" max="10" width="47.42578125" style="18" customWidth="1"/>
    <col min="11" max="11" width="21.42578125" style="18" customWidth="1"/>
    <col min="12" max="12" width="36.140625" style="18" customWidth="1"/>
    <col min="13" max="15" width="9.140625" style="18"/>
    <col min="16" max="16" width="11.5703125" style="18" bestFit="1" customWidth="1"/>
    <col min="17" max="16384" width="9.140625" style="18"/>
  </cols>
  <sheetData>
    <row r="1" spans="2:12" ht="15"/>
    <row r="2" spans="2:12" ht="61.5" customHeight="1">
      <c r="B2" s="22" t="s">
        <v>108</v>
      </c>
      <c r="C2" s="20" t="s">
        <v>110</v>
      </c>
      <c r="D2" s="20" t="s">
        <v>176</v>
      </c>
      <c r="E2" s="20" t="s">
        <v>123</v>
      </c>
      <c r="F2" s="20" t="s">
        <v>113</v>
      </c>
      <c r="G2" s="20" t="s">
        <v>1</v>
      </c>
      <c r="H2" s="20" t="s">
        <v>125</v>
      </c>
      <c r="I2" s="20" t="s">
        <v>131</v>
      </c>
      <c r="J2" s="20" t="s">
        <v>133</v>
      </c>
      <c r="K2" s="20" t="s">
        <v>117</v>
      </c>
      <c r="L2" s="20" t="s">
        <v>116</v>
      </c>
    </row>
    <row r="3" spans="2:12" ht="105">
      <c r="B3" s="23" t="s">
        <v>187</v>
      </c>
      <c r="C3" s="19" t="s">
        <v>188</v>
      </c>
      <c r="D3" s="24">
        <v>1</v>
      </c>
      <c r="E3" s="19" t="s">
        <v>189</v>
      </c>
      <c r="F3" s="21" t="s">
        <v>190</v>
      </c>
      <c r="G3" s="19" t="s">
        <v>120</v>
      </c>
      <c r="H3" s="19" t="s">
        <v>191</v>
      </c>
      <c r="I3" s="19" t="s">
        <v>192</v>
      </c>
      <c r="J3" s="19" t="s">
        <v>193</v>
      </c>
      <c r="K3" s="19" t="s">
        <v>194</v>
      </c>
      <c r="L3" s="19"/>
    </row>
    <row r="4" spans="2:12" ht="91.5" customHeight="1">
      <c r="B4" s="23" t="s">
        <v>109</v>
      </c>
      <c r="C4" s="19" t="s">
        <v>111</v>
      </c>
      <c r="D4" s="24">
        <v>2</v>
      </c>
      <c r="E4" s="19" t="s">
        <v>112</v>
      </c>
      <c r="F4" s="21" t="s">
        <v>165</v>
      </c>
      <c r="G4" s="19" t="s">
        <v>114</v>
      </c>
      <c r="H4" s="19" t="s">
        <v>137</v>
      </c>
      <c r="I4" s="19" t="s">
        <v>138</v>
      </c>
      <c r="J4" s="19" t="s">
        <v>115</v>
      </c>
      <c r="K4" s="19" t="s">
        <v>118</v>
      </c>
      <c r="L4" s="19"/>
    </row>
    <row r="5" spans="2:12" ht="88.5" customHeight="1">
      <c r="B5" s="23" t="s">
        <v>119</v>
      </c>
      <c r="C5" s="19" t="s">
        <v>127</v>
      </c>
      <c r="D5" s="24">
        <v>2</v>
      </c>
      <c r="E5" s="19" t="s">
        <v>122</v>
      </c>
      <c r="F5" s="19" t="s">
        <v>121</v>
      </c>
      <c r="G5" s="19" t="s">
        <v>120</v>
      </c>
      <c r="H5" s="19" t="s">
        <v>124</v>
      </c>
      <c r="I5" s="19" t="s">
        <v>213</v>
      </c>
      <c r="J5" s="19" t="s">
        <v>128</v>
      </c>
      <c r="K5" s="19" t="s">
        <v>126</v>
      </c>
      <c r="L5" s="19"/>
    </row>
    <row r="6" spans="2:12" ht="114" customHeight="1">
      <c r="B6" s="23" t="s">
        <v>143</v>
      </c>
      <c r="C6" s="19" t="s">
        <v>142</v>
      </c>
      <c r="D6" s="24">
        <v>4</v>
      </c>
      <c r="E6" s="19" t="s">
        <v>144</v>
      </c>
      <c r="F6" s="19" t="s">
        <v>164</v>
      </c>
      <c r="G6" s="19" t="s">
        <v>120</v>
      </c>
      <c r="H6" s="19" t="s">
        <v>124</v>
      </c>
      <c r="I6" s="19" t="s">
        <v>213</v>
      </c>
      <c r="J6" s="19" t="s">
        <v>146</v>
      </c>
      <c r="K6" s="19" t="s">
        <v>145</v>
      </c>
      <c r="L6" s="19"/>
    </row>
    <row r="7" spans="2:12" ht="114" customHeight="1">
      <c r="B7" s="23" t="s">
        <v>207</v>
      </c>
      <c r="C7" s="19" t="s">
        <v>205</v>
      </c>
      <c r="D7" s="24">
        <v>1</v>
      </c>
      <c r="E7" s="19" t="s">
        <v>206</v>
      </c>
      <c r="F7" s="19" t="s">
        <v>212</v>
      </c>
      <c r="G7" s="19" t="s">
        <v>208</v>
      </c>
      <c r="H7" s="19" t="s">
        <v>209</v>
      </c>
      <c r="I7" s="19" t="s">
        <v>213</v>
      </c>
      <c r="J7" s="19" t="s">
        <v>210</v>
      </c>
      <c r="K7" s="19" t="s">
        <v>211</v>
      </c>
      <c r="L7" s="19"/>
    </row>
    <row r="8" spans="2:12" ht="114" customHeight="1">
      <c r="B8" s="23" t="s">
        <v>136</v>
      </c>
      <c r="C8" s="19" t="s">
        <v>130</v>
      </c>
      <c r="D8" s="24">
        <v>1</v>
      </c>
      <c r="E8" s="19" t="s">
        <v>139</v>
      </c>
      <c r="F8" s="19" t="s">
        <v>140</v>
      </c>
      <c r="G8" s="19" t="s">
        <v>120</v>
      </c>
      <c r="H8" s="19" t="s">
        <v>177</v>
      </c>
      <c r="I8" s="19" t="s">
        <v>132</v>
      </c>
      <c r="J8" s="19" t="s">
        <v>134</v>
      </c>
      <c r="K8" s="19" t="s">
        <v>141</v>
      </c>
      <c r="L8" s="19"/>
    </row>
    <row r="9" spans="2:12" ht="81" customHeight="1">
      <c r="B9" s="23" t="s">
        <v>129</v>
      </c>
      <c r="C9" s="19" t="s">
        <v>130</v>
      </c>
      <c r="D9" s="24">
        <v>2</v>
      </c>
      <c r="E9" s="19" t="s">
        <v>139</v>
      </c>
      <c r="F9" s="19" t="s">
        <v>140</v>
      </c>
      <c r="G9" s="19" t="s">
        <v>120</v>
      </c>
      <c r="H9" s="19" t="s">
        <v>177</v>
      </c>
      <c r="I9" s="19" t="s">
        <v>132</v>
      </c>
      <c r="J9" s="19" t="s">
        <v>134</v>
      </c>
      <c r="K9" s="19" t="s">
        <v>141</v>
      </c>
      <c r="L9" s="19"/>
    </row>
    <row r="10" spans="2:12" ht="114" customHeight="1">
      <c r="B10" s="23" t="s">
        <v>135</v>
      </c>
      <c r="C10" s="19" t="s">
        <v>130</v>
      </c>
      <c r="D10" s="24">
        <v>4</v>
      </c>
      <c r="E10" s="19" t="s">
        <v>139</v>
      </c>
      <c r="F10" s="19" t="s">
        <v>140</v>
      </c>
      <c r="G10" s="19" t="s">
        <v>120</v>
      </c>
      <c r="H10" s="19" t="s">
        <v>177</v>
      </c>
      <c r="I10" s="19" t="s">
        <v>132</v>
      </c>
      <c r="J10" s="19" t="s">
        <v>134</v>
      </c>
      <c r="K10" s="19" t="s">
        <v>141</v>
      </c>
      <c r="L10" s="19"/>
    </row>
    <row r="11" spans="2:12" ht="114" customHeight="1">
      <c r="B11" s="23" t="s">
        <v>147</v>
      </c>
      <c r="C11" s="19" t="s">
        <v>148</v>
      </c>
      <c r="D11" s="24">
        <v>1</v>
      </c>
      <c r="E11" s="19" t="s">
        <v>150</v>
      </c>
      <c r="F11" s="19" t="s">
        <v>152</v>
      </c>
      <c r="G11" s="19" t="s">
        <v>149</v>
      </c>
      <c r="H11" s="19" t="s">
        <v>178</v>
      </c>
      <c r="I11" s="19" t="s">
        <v>154</v>
      </c>
      <c r="J11" s="19" t="s">
        <v>153</v>
      </c>
      <c r="K11" s="19" t="s">
        <v>151</v>
      </c>
      <c r="L11" s="19"/>
    </row>
    <row r="12" spans="2:12" ht="78" customHeight="1">
      <c r="B12" s="23" t="s">
        <v>155</v>
      </c>
      <c r="C12" s="19" t="s">
        <v>156</v>
      </c>
      <c r="D12" s="24">
        <v>2</v>
      </c>
      <c r="E12" s="19" t="s">
        <v>158</v>
      </c>
      <c r="F12" s="19" t="s">
        <v>160</v>
      </c>
      <c r="G12" s="19"/>
      <c r="H12" s="19" t="s">
        <v>124</v>
      </c>
      <c r="I12" s="19" t="s">
        <v>157</v>
      </c>
      <c r="J12" s="19" t="s">
        <v>159</v>
      </c>
      <c r="K12" s="19" t="s">
        <v>163</v>
      </c>
      <c r="L12" s="19"/>
    </row>
    <row r="13" spans="2:12" ht="86.25" customHeight="1">
      <c r="B13" s="23" t="s">
        <v>161</v>
      </c>
      <c r="C13" s="19" t="s">
        <v>156</v>
      </c>
      <c r="D13" s="24">
        <v>4</v>
      </c>
      <c r="E13" s="19" t="s">
        <v>158</v>
      </c>
      <c r="F13" s="19" t="s">
        <v>160</v>
      </c>
      <c r="G13" s="19"/>
      <c r="H13" s="19" t="s">
        <v>124</v>
      </c>
      <c r="I13" s="19" t="s">
        <v>157</v>
      </c>
      <c r="J13" s="19" t="s">
        <v>162</v>
      </c>
      <c r="K13" s="19" t="s">
        <v>163</v>
      </c>
      <c r="L13" s="19"/>
    </row>
    <row r="14" spans="2:12" ht="107.25" customHeight="1">
      <c r="B14" s="23" t="s">
        <v>179</v>
      </c>
      <c r="C14" s="19" t="s">
        <v>227</v>
      </c>
      <c r="D14" s="24">
        <v>1</v>
      </c>
      <c r="E14" s="19" t="s">
        <v>183</v>
      </c>
      <c r="F14" s="19" t="s">
        <v>180</v>
      </c>
      <c r="G14" s="19" t="s">
        <v>184</v>
      </c>
      <c r="H14" s="19" t="s">
        <v>181</v>
      </c>
      <c r="I14" s="19" t="s">
        <v>182</v>
      </c>
      <c r="J14" s="19" t="s">
        <v>185</v>
      </c>
      <c r="K14" s="19" t="s">
        <v>186</v>
      </c>
      <c r="L14" s="19"/>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2FB18-ADB6-4338-8CD1-6BAA33A6ABAA}">
  <sheetPr codeName="Sheet14"/>
  <dimension ref="B1:J35"/>
  <sheetViews>
    <sheetView zoomScale="85" zoomScaleNormal="85"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224</v>
      </c>
    </row>
    <row r="2" spans="2:9" ht="15.75" thickBot="1">
      <c r="B2" s="2" t="s">
        <v>12</v>
      </c>
      <c r="C2" s="4">
        <v>5</v>
      </c>
      <c r="D2" s="2" t="s">
        <v>16</v>
      </c>
      <c r="G2" s="6" t="s">
        <v>36</v>
      </c>
    </row>
    <row r="3" spans="2:9" ht="15.75" thickBot="1">
      <c r="B3" s="2" t="s">
        <v>13</v>
      </c>
      <c r="C3" s="4">
        <v>1</v>
      </c>
      <c r="D3" s="2" t="s">
        <v>16</v>
      </c>
      <c r="G3" s="2" t="s">
        <v>9</v>
      </c>
      <c r="H3" s="4">
        <v>5</v>
      </c>
      <c r="I3" s="2" t="s">
        <v>18</v>
      </c>
    </row>
    <row r="4" spans="2:9" ht="15.75" thickBot="1">
      <c r="B4" s="2" t="s">
        <v>0</v>
      </c>
      <c r="C4" s="3">
        <v>0</v>
      </c>
      <c r="D4" s="2" t="s">
        <v>17</v>
      </c>
      <c r="G4" s="2" t="s">
        <v>10</v>
      </c>
      <c r="H4" s="5">
        <v>0</v>
      </c>
      <c r="I4" s="2" t="s">
        <v>19</v>
      </c>
    </row>
    <row r="5" spans="2:9" ht="15.75" thickBot="1">
      <c r="B5" s="2" t="s">
        <v>1</v>
      </c>
      <c r="C5" s="3">
        <f>C3/(C2+C3)</f>
        <v>0.16666666666666666</v>
      </c>
      <c r="D5" s="2" t="s">
        <v>39</v>
      </c>
      <c r="G5" s="2" t="s">
        <v>31</v>
      </c>
      <c r="H5" s="4">
        <v>1.3</v>
      </c>
      <c r="I5" s="2" t="s">
        <v>32</v>
      </c>
    </row>
    <row r="6" spans="2:9" ht="15.75" thickBot="1">
      <c r="B6" s="2" t="s">
        <v>25</v>
      </c>
      <c r="C6" s="4">
        <v>12</v>
      </c>
      <c r="D6" s="2" t="s">
        <v>38</v>
      </c>
    </row>
    <row r="8" spans="2:9" ht="15.75" thickBot="1">
      <c r="E8" s="6" t="s">
        <v>30</v>
      </c>
      <c r="G8" s="6" t="s">
        <v>33</v>
      </c>
    </row>
    <row r="9" spans="2:9" ht="15.75" thickBot="1">
      <c r="B9" s="7" t="s">
        <v>6</v>
      </c>
      <c r="C9" s="7" t="s">
        <v>7</v>
      </c>
      <c r="D9" s="7" t="s">
        <v>3</v>
      </c>
      <c r="E9" s="7" t="s">
        <v>3</v>
      </c>
      <c r="G9" s="6" t="s">
        <v>29</v>
      </c>
      <c r="H9" s="4">
        <v>20</v>
      </c>
      <c r="I9" s="2" t="s">
        <v>17</v>
      </c>
    </row>
    <row r="10" spans="2:9">
      <c r="B10" s="2">
        <v>0</v>
      </c>
      <c r="C10" s="2">
        <f t="shared" ref="C10:C35" si="0">$C$6*SIN($B10)</f>
        <v>0</v>
      </c>
      <c r="D10" s="2">
        <f t="shared" ref="D10:D35" si="1">$C$5*C10</f>
        <v>0</v>
      </c>
      <c r="E10" s="2">
        <f t="shared" ref="E10:E35" si="2">IF(D10&gt;($H$3-$H$5),($H$3-$H$5),IF(D10&lt;($H$4+$H$5),($H$4+$H$5),D10))</f>
        <v>1.3</v>
      </c>
      <c r="G10" s="6" t="s">
        <v>34</v>
      </c>
      <c r="H10" s="3">
        <f>IF(H9*C5&gt;($H$3-$H$5),($H$3-$H$5),IF(H9*C5&lt;($H$4+$H$5),($H$4+$H$5),H9*C5))</f>
        <v>3.333333333333333</v>
      </c>
      <c r="I10" s="2" t="s">
        <v>17</v>
      </c>
    </row>
    <row r="11" spans="2:9">
      <c r="B11" s="2">
        <v>0.1</v>
      </c>
      <c r="C11" s="2">
        <f t="shared" si="0"/>
        <v>1.1980009997619379</v>
      </c>
      <c r="D11" s="2">
        <f t="shared" si="1"/>
        <v>0.19966683329365631</v>
      </c>
      <c r="E11" s="2">
        <f t="shared" si="2"/>
        <v>1.3</v>
      </c>
    </row>
    <row r="12" spans="2:9">
      <c r="B12" s="2">
        <v>0.2</v>
      </c>
      <c r="C12" s="2">
        <f t="shared" si="0"/>
        <v>2.3840319695407346</v>
      </c>
      <c r="D12" s="2">
        <f t="shared" si="1"/>
        <v>0.39733866159012243</v>
      </c>
      <c r="E12" s="2">
        <f t="shared" si="2"/>
        <v>1.3</v>
      </c>
    </row>
    <row r="13" spans="2:9">
      <c r="B13" s="2">
        <v>1.2</v>
      </c>
      <c r="C13" s="2">
        <f t="shared" si="0"/>
        <v>11.184469031606715</v>
      </c>
      <c r="D13" s="2">
        <f t="shared" si="1"/>
        <v>1.8640781719344526</v>
      </c>
      <c r="E13" s="2">
        <f t="shared" si="2"/>
        <v>1.8640781719344526</v>
      </c>
    </row>
    <row r="14" spans="2:9">
      <c r="B14" s="2">
        <v>2.2000000000000002</v>
      </c>
      <c r="C14" s="2">
        <f t="shared" si="0"/>
        <v>9.7019568458350811</v>
      </c>
      <c r="D14" s="2">
        <f t="shared" si="1"/>
        <v>1.6169928076391802</v>
      </c>
      <c r="E14" s="2">
        <f t="shared" si="2"/>
        <v>1.6169928076391802</v>
      </c>
    </row>
    <row r="15" spans="2:9">
      <c r="B15" s="2">
        <v>3.2</v>
      </c>
      <c r="C15" s="2">
        <f t="shared" si="0"/>
        <v>-0.70048972113096108</v>
      </c>
      <c r="D15" s="2">
        <f t="shared" si="1"/>
        <v>-0.11674828685516017</v>
      </c>
      <c r="E15" s="2">
        <f t="shared" si="2"/>
        <v>1.3</v>
      </c>
    </row>
    <row r="16" spans="2:9">
      <c r="B16" s="2">
        <v>4.2</v>
      </c>
      <c r="C16" s="2">
        <f t="shared" si="0"/>
        <v>-10.458909268963058</v>
      </c>
      <c r="D16" s="2">
        <f t="shared" si="1"/>
        <v>-1.7431515448271764</v>
      </c>
      <c r="E16" s="2">
        <f t="shared" si="2"/>
        <v>1.3</v>
      </c>
    </row>
    <row r="17" spans="2:10">
      <c r="B17" s="2">
        <v>5.2</v>
      </c>
      <c r="C17" s="2">
        <f t="shared" si="0"/>
        <v>-10.601455868641837</v>
      </c>
      <c r="D17" s="2">
        <f t="shared" si="1"/>
        <v>-1.7669093114403061</v>
      </c>
      <c r="E17" s="2">
        <f t="shared" si="2"/>
        <v>1.3</v>
      </c>
    </row>
    <row r="18" spans="2:10">
      <c r="B18" s="2">
        <v>6.2</v>
      </c>
      <c r="C18" s="2">
        <f t="shared" si="0"/>
        <v>-0.99707283380995682</v>
      </c>
      <c r="D18" s="2">
        <f t="shared" si="1"/>
        <v>-0.16617880563499279</v>
      </c>
      <c r="E18" s="2">
        <f t="shared" si="2"/>
        <v>1.3</v>
      </c>
    </row>
    <row r="19" spans="2:10">
      <c r="B19" s="2">
        <v>7.2</v>
      </c>
      <c r="C19" s="2">
        <f t="shared" si="0"/>
        <v>9.5240143661898369</v>
      </c>
      <c r="D19" s="2">
        <f t="shared" si="1"/>
        <v>1.587335727698306</v>
      </c>
      <c r="E19" s="2">
        <f t="shared" si="2"/>
        <v>1.587335727698306</v>
      </c>
    </row>
    <row r="20" spans="2:10">
      <c r="B20" s="2">
        <v>8.1999999999999993</v>
      </c>
      <c r="C20" s="2">
        <f t="shared" si="0"/>
        <v>11.288766680157277</v>
      </c>
      <c r="D20" s="2">
        <f t="shared" si="1"/>
        <v>1.881461113359546</v>
      </c>
      <c r="E20" s="2">
        <f t="shared" si="2"/>
        <v>1.881461113359546</v>
      </c>
    </row>
    <row r="21" spans="2:10">
      <c r="B21" s="2">
        <v>9.1999999999999993</v>
      </c>
      <c r="C21" s="2">
        <f t="shared" si="0"/>
        <v>2.6746789692029718</v>
      </c>
      <c r="D21" s="2">
        <f t="shared" si="1"/>
        <v>0.44577982820049528</v>
      </c>
      <c r="E21" s="2">
        <f t="shared" si="2"/>
        <v>1.3</v>
      </c>
    </row>
    <row r="22" spans="2:10">
      <c r="B22" s="2">
        <v>10.199999999999999</v>
      </c>
      <c r="C22" s="2">
        <f t="shared" si="0"/>
        <v>-8.3984962511225074</v>
      </c>
      <c r="D22" s="2">
        <f t="shared" si="1"/>
        <v>-1.3997493751870844</v>
      </c>
      <c r="E22" s="2">
        <f t="shared" si="2"/>
        <v>1.3</v>
      </c>
    </row>
    <row r="23" spans="2:10">
      <c r="B23" s="2">
        <v>11.2</v>
      </c>
      <c r="C23" s="2">
        <f t="shared" si="0"/>
        <v>-11.750132749815808</v>
      </c>
      <c r="D23" s="2">
        <f t="shared" si="1"/>
        <v>-1.9583554583026346</v>
      </c>
      <c r="E23" s="2">
        <f t="shared" si="2"/>
        <v>1.3</v>
      </c>
    </row>
    <row r="24" spans="2:10">
      <c r="B24" s="2">
        <v>12.2</v>
      </c>
      <c r="C24" s="2">
        <f t="shared" si="0"/>
        <v>-4.2987513868419445</v>
      </c>
      <c r="D24" s="2">
        <f t="shared" si="1"/>
        <v>-0.71645856447365741</v>
      </c>
      <c r="E24" s="2">
        <f t="shared" si="2"/>
        <v>1.3</v>
      </c>
    </row>
    <row r="25" spans="2:10">
      <c r="B25" s="2">
        <v>13.2</v>
      </c>
      <c r="C25" s="2">
        <f t="shared" si="0"/>
        <v>7.1048821764866759</v>
      </c>
      <c r="D25" s="2">
        <f t="shared" si="1"/>
        <v>1.1841470294144458</v>
      </c>
      <c r="E25" s="2">
        <f t="shared" si="2"/>
        <v>1.3</v>
      </c>
    </row>
    <row r="26" spans="2:10">
      <c r="B26" s="2">
        <v>14.2</v>
      </c>
      <c r="C26" s="2">
        <f t="shared" si="0"/>
        <v>11.97631983259634</v>
      </c>
      <c r="D26" s="2">
        <f t="shared" si="1"/>
        <v>1.9960533054327234</v>
      </c>
      <c r="E26" s="2">
        <f t="shared" si="2"/>
        <v>1.9960533054327234</v>
      </c>
    </row>
    <row r="27" spans="2:10">
      <c r="B27" s="2">
        <v>15.2</v>
      </c>
      <c r="C27" s="2">
        <f t="shared" si="0"/>
        <v>5.836784266245596</v>
      </c>
      <c r="D27" s="2">
        <f t="shared" si="1"/>
        <v>0.97279737770759933</v>
      </c>
      <c r="E27" s="2">
        <f t="shared" si="2"/>
        <v>1.3</v>
      </c>
    </row>
    <row r="28" spans="2:10">
      <c r="B28" s="2">
        <v>16.2</v>
      </c>
      <c r="C28" s="2">
        <f t="shared" si="0"/>
        <v>-5.6690638367815938</v>
      </c>
      <c r="D28" s="2">
        <f t="shared" si="1"/>
        <v>-0.94484397279693222</v>
      </c>
      <c r="E28" s="2">
        <f t="shared" si="2"/>
        <v>1.3</v>
      </c>
    </row>
    <row r="29" spans="2:10">
      <c r="B29" s="2">
        <v>17.2</v>
      </c>
      <c r="C29" s="2">
        <f t="shared" si="0"/>
        <v>-11.962800792499152</v>
      </c>
      <c r="D29" s="2">
        <f t="shared" si="1"/>
        <v>-1.993800132083192</v>
      </c>
      <c r="E29" s="2">
        <f t="shared" si="2"/>
        <v>1.3</v>
      </c>
      <c r="G29" s="6" t="s">
        <v>65</v>
      </c>
    </row>
    <row r="30" spans="2:10">
      <c r="B30" s="2">
        <v>18.2</v>
      </c>
      <c r="C30" s="2">
        <f t="shared" si="0"/>
        <v>-7.2579938688754098</v>
      </c>
      <c r="D30" s="2">
        <f t="shared" si="1"/>
        <v>-1.2096656448125682</v>
      </c>
      <c r="E30" s="2">
        <f t="shared" si="2"/>
        <v>1.3</v>
      </c>
      <c r="G30" s="12" t="s">
        <v>64</v>
      </c>
      <c r="H30" s="12">
        <f>H3</f>
        <v>5</v>
      </c>
      <c r="I30" s="12" t="s">
        <v>17</v>
      </c>
      <c r="J30" s="13" t="str">
        <f>TRIM(G30)&amp;"   "&amp;IF(H30&gt;0,"+","")&amp;TRIM(H30)&amp;" "&amp;TRIM(I30)</f>
        <v>V+:   +5 V</v>
      </c>
    </row>
    <row r="31" spans="2:10">
      <c r="B31" s="2">
        <v>19.2</v>
      </c>
      <c r="C31" s="2">
        <f t="shared" si="0"/>
        <v>4.1197791458387449</v>
      </c>
      <c r="D31" s="2">
        <f t="shared" si="1"/>
        <v>0.68662985763979079</v>
      </c>
      <c r="E31" s="2">
        <f t="shared" si="2"/>
        <v>1.3</v>
      </c>
      <c r="G31" s="12" t="s">
        <v>66</v>
      </c>
      <c r="H31" s="12">
        <f>H4</f>
        <v>0</v>
      </c>
      <c r="I31" s="12" t="s">
        <v>17</v>
      </c>
      <c r="J31" s="13" t="str">
        <f t="shared" ref="J31:J32" si="3">TRIM(G31)&amp;"   "&amp;IF(H31&gt;0,"+","")&amp;TRIM(H31)&amp;" "&amp;TRIM(I31)</f>
        <v>V-:   0 V</v>
      </c>
    </row>
    <row r="32" spans="2:10">
      <c r="B32" s="2">
        <v>20.2</v>
      </c>
      <c r="C32" s="2">
        <f t="shared" si="0"/>
        <v>11.709846213203706</v>
      </c>
      <c r="D32" s="2">
        <f t="shared" si="1"/>
        <v>1.9516410355339509</v>
      </c>
      <c r="E32" s="2">
        <f t="shared" si="2"/>
        <v>1.9516410355339509</v>
      </c>
      <c r="G32" s="12" t="s">
        <v>29</v>
      </c>
      <c r="H32" s="12">
        <f>H9</f>
        <v>20</v>
      </c>
      <c r="I32" s="12" t="s">
        <v>17</v>
      </c>
      <c r="J32" s="13" t="str">
        <f t="shared" si="3"/>
        <v>Vin:   +20 V</v>
      </c>
    </row>
    <row r="33" spans="2:10">
      <c r="B33" s="2">
        <v>21.2</v>
      </c>
      <c r="C33" s="2">
        <f t="shared" si="0"/>
        <v>8.533934674871789</v>
      </c>
      <c r="D33" s="2">
        <f t="shared" si="1"/>
        <v>1.4223224458119648</v>
      </c>
      <c r="E33" s="2">
        <f t="shared" si="2"/>
        <v>1.4223224458119648</v>
      </c>
      <c r="G33" s="12" t="s">
        <v>67</v>
      </c>
      <c r="H33" s="12">
        <f>C2</f>
        <v>5</v>
      </c>
      <c r="I33" s="12" t="s">
        <v>16</v>
      </c>
      <c r="J33" s="13" t="str">
        <f t="shared" ref="J33:J34" si="4">TRIM(G33)&amp;"   "&amp;TRIM(H33)&amp;" "&amp;TRIM(I33)</f>
        <v>R1:   5 K</v>
      </c>
    </row>
    <row r="34" spans="2:10">
      <c r="B34" s="2">
        <v>22.2</v>
      </c>
      <c r="C34" s="2">
        <f t="shared" si="0"/>
        <v>-2.4880370472811055</v>
      </c>
      <c r="D34" s="2">
        <f t="shared" si="1"/>
        <v>-0.41467284121351755</v>
      </c>
      <c r="E34" s="2">
        <f t="shared" si="2"/>
        <v>1.3</v>
      </c>
      <c r="G34" s="12" t="s">
        <v>72</v>
      </c>
      <c r="H34" s="12">
        <f>C3</f>
        <v>1</v>
      </c>
      <c r="I34" s="12" t="s">
        <v>16</v>
      </c>
      <c r="J34" s="13" t="str">
        <f t="shared" si="4"/>
        <v>R2:   1 K</v>
      </c>
    </row>
    <row r="35" spans="2:10">
      <c r="B35" s="2">
        <v>23.2</v>
      </c>
      <c r="C35" s="2">
        <f t="shared" si="0"/>
        <v>-11.222518982334467</v>
      </c>
      <c r="D35" s="2">
        <f t="shared" si="1"/>
        <v>-1.8704198303890778</v>
      </c>
      <c r="E35" s="2">
        <f t="shared" si="2"/>
        <v>1.3</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92EC5-7298-4AE7-B2AC-1DFD794F4D3E}">
  <dimension ref="B1:Z101"/>
  <sheetViews>
    <sheetView zoomScale="85" zoomScaleNormal="85"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6" width="12.28515625" style="2" bestFit="1" customWidth="1"/>
    <col min="7" max="7" width="9.140625" style="2"/>
    <col min="8" max="8" width="11" style="2" customWidth="1"/>
    <col min="9" max="16384" width="9.140625" style="2"/>
  </cols>
  <sheetData>
    <row r="1" spans="2:26" ht="46.5">
      <c r="B1" s="1" t="s">
        <v>96</v>
      </c>
    </row>
    <row r="2" spans="2:26" ht="15.75" thickBot="1">
      <c r="B2" s="2" t="s">
        <v>228</v>
      </c>
      <c r="H2" s="6" t="s">
        <v>36</v>
      </c>
    </row>
    <row r="3" spans="2:26" ht="15.75" thickBot="1">
      <c r="B3" s="2" t="s">
        <v>12</v>
      </c>
      <c r="C3" s="4">
        <v>1</v>
      </c>
      <c r="D3" s="2" t="s">
        <v>16</v>
      </c>
      <c r="E3" s="33" t="s">
        <v>287</v>
      </c>
      <c r="F3" s="9">
        <f>2*PI()*C10</f>
        <v>99999.40743788598</v>
      </c>
      <c r="H3" s="2" t="s">
        <v>9</v>
      </c>
      <c r="I3" s="4">
        <v>5</v>
      </c>
      <c r="J3" s="2" t="s">
        <v>18</v>
      </c>
      <c r="Z3"/>
    </row>
    <row r="4" spans="2:26" ht="15.75" thickBot="1">
      <c r="B4" s="2" t="s">
        <v>82</v>
      </c>
      <c r="C4" s="4">
        <v>0.1</v>
      </c>
      <c r="D4" s="2" t="s">
        <v>83</v>
      </c>
      <c r="E4" s="2" t="s">
        <v>291</v>
      </c>
      <c r="F4" s="9">
        <f>1/SQRT(1+(F3*C3*1000*C4*0.000001)^2)</f>
        <v>9.950430280791274E-2</v>
      </c>
      <c r="H4" s="2" t="s">
        <v>10</v>
      </c>
      <c r="I4" s="5">
        <v>-5</v>
      </c>
      <c r="J4" s="2" t="s">
        <v>19</v>
      </c>
    </row>
    <row r="5" spans="2:26" ht="15.75" thickBot="1">
      <c r="B5" s="2" t="s">
        <v>97</v>
      </c>
      <c r="C5" s="3">
        <f>1/(2*PI()*C10*C4*0.000001)</f>
        <v>100.00059256562535</v>
      </c>
      <c r="D5" s="2" t="s">
        <v>214</v>
      </c>
      <c r="E5" s="33" t="s">
        <v>288</v>
      </c>
      <c r="F5" s="9">
        <f>-ATAN(F3*C3*1000*C4*0.000001)</f>
        <v>-1.4711270876051301</v>
      </c>
      <c r="G5" s="2" t="s">
        <v>290</v>
      </c>
      <c r="H5" s="2" t="s">
        <v>31</v>
      </c>
      <c r="I5" s="4">
        <v>1.2</v>
      </c>
      <c r="J5" s="2" t="s">
        <v>32</v>
      </c>
    </row>
    <row r="6" spans="2:26">
      <c r="B6" s="2" t="s">
        <v>0</v>
      </c>
      <c r="C6" s="3">
        <v>0</v>
      </c>
      <c r="D6" s="2" t="s">
        <v>17</v>
      </c>
      <c r="E6" s="17" t="s">
        <v>286</v>
      </c>
      <c r="F6" s="9">
        <f>ABS(F5)/F3</f>
        <v>1.4711358049985564E-5</v>
      </c>
      <c r="G6" s="2" t="s">
        <v>289</v>
      </c>
    </row>
    <row r="7" spans="2:26" ht="15.75" thickBot="1">
      <c r="B7" s="2" t="s">
        <v>1</v>
      </c>
      <c r="C7" s="3">
        <f>1</f>
        <v>1</v>
      </c>
      <c r="D7" s="2" t="s">
        <v>39</v>
      </c>
      <c r="H7" s="6" t="s">
        <v>33</v>
      </c>
    </row>
    <row r="8" spans="2:26" ht="15.75" thickBot="1">
      <c r="H8" s="6" t="s">
        <v>29</v>
      </c>
      <c r="I8" s="4">
        <v>1</v>
      </c>
      <c r="J8" s="2" t="s">
        <v>17</v>
      </c>
    </row>
    <row r="9" spans="2:26" ht="15.75" thickBot="1">
      <c r="B9" s="2" t="s">
        <v>25</v>
      </c>
      <c r="C9" s="4">
        <v>1</v>
      </c>
      <c r="D9" s="2" t="s">
        <v>38</v>
      </c>
      <c r="H9" s="6" t="s">
        <v>34</v>
      </c>
      <c r="I9" s="3">
        <f>IF($C$7*I8/SQRT(1+($C$10/$C$12)^2)&gt;($I$3-$I$5),($I$3-$I$5),IF($C$7*I8/SQRT(1+($C$10/$C$12)^2)&lt;($I$4+$I$5),($I$4+$I$5),$C$7*I8/SQRT(1+($C$10/$C$12)^2)))</f>
        <v>9.950430280791274E-2</v>
      </c>
      <c r="J9" s="2" t="s">
        <v>17</v>
      </c>
    </row>
    <row r="10" spans="2:26" ht="15.75" thickBot="1">
      <c r="B10" s="2" t="s">
        <v>84</v>
      </c>
      <c r="C10" s="4">
        <v>15915.4</v>
      </c>
      <c r="D10" s="2" t="s">
        <v>80</v>
      </c>
    </row>
    <row r="11" spans="2:26">
      <c r="B11" s="2" t="s">
        <v>87</v>
      </c>
      <c r="C11" s="3">
        <f>1/C10</f>
        <v>6.2832225391758924E-5</v>
      </c>
      <c r="D11" s="2" t="s">
        <v>86</v>
      </c>
      <c r="H11" s="6" t="s">
        <v>103</v>
      </c>
    </row>
    <row r="12" spans="2:26" ht="15.75" thickBot="1">
      <c r="B12" s="2" t="s">
        <v>81</v>
      </c>
      <c r="C12" s="3">
        <f>1/(2*PI()*(C3*1000)*(C4*0.000001))</f>
        <v>1591.5494309189537</v>
      </c>
      <c r="D12" s="2" t="s">
        <v>80</v>
      </c>
      <c r="H12" s="17" t="s">
        <v>104</v>
      </c>
      <c r="I12" s="3">
        <f>1000*(C3*1000)*(C4*0.000001)</f>
        <v>9.9999999999999992E-2</v>
      </c>
      <c r="J12" s="2" t="s">
        <v>105</v>
      </c>
    </row>
    <row r="13" spans="2:26" ht="15.75" thickBot="1">
      <c r="B13" s="2" t="s">
        <v>89</v>
      </c>
      <c r="C13" s="4">
        <v>4</v>
      </c>
      <c r="D13" s="2" t="s">
        <v>90</v>
      </c>
    </row>
    <row r="14" spans="2:26">
      <c r="B14" s="2" t="s">
        <v>88</v>
      </c>
      <c r="C14" s="3">
        <f>C11*C13/25</f>
        <v>1.0053156062681428E-5</v>
      </c>
      <c r="D14" s="2" t="s">
        <v>86</v>
      </c>
    </row>
    <row r="15" spans="2:26">
      <c r="E15" s="6" t="s">
        <v>30</v>
      </c>
    </row>
    <row r="16" spans="2:26">
      <c r="B16" s="7" t="s">
        <v>85</v>
      </c>
      <c r="C16" s="7" t="s">
        <v>7</v>
      </c>
      <c r="D16" s="7" t="s">
        <v>3</v>
      </c>
      <c r="E16" s="7" t="s">
        <v>3</v>
      </c>
      <c r="F16" s="28" t="s">
        <v>216</v>
      </c>
      <c r="G16" s="28"/>
    </row>
    <row r="17" spans="2:18">
      <c r="B17" s="2">
        <v>0</v>
      </c>
      <c r="C17" s="2">
        <f>$C$9*SIN($B17*$C$10*2*PI())</f>
        <v>0</v>
      </c>
      <c r="D17" s="2">
        <f>$F$4*$C$9*SIN($F$3*B17+$F$5)</f>
        <v>-9.9010476070841222E-2</v>
      </c>
      <c r="E17" s="2">
        <f t="shared" ref="E17:E42" si="0">IF(D17&gt;($I$3-$I$5),($I$3-$I$5),IF(D17&lt;($I$4+$I$5),($I$4+$I$5),D17))</f>
        <v>-9.9010476070841222E-2</v>
      </c>
      <c r="F17" s="28">
        <f t="shared" ref="F17:F42" si="1">C17*$C$5/SQRT($C$5^2+($C$3*1000)^2)</f>
        <v>0</v>
      </c>
    </row>
    <row r="18" spans="2:18">
      <c r="B18" s="2">
        <f>B17+$C$14</f>
        <v>1.0053156062681428E-5</v>
      </c>
      <c r="C18" s="2">
        <f t="shared" ref="C18:C42" si="2">$C$9*SIN($B18*$C$10*2*PI())</f>
        <v>0.84432792550201508</v>
      </c>
      <c r="D18" s="2">
        <f t="shared" ref="D18:D42" si="3">$F$4*$C$9*SIN($F$3*B18+$F$5)</f>
        <v>-4.4692685539105291E-2</v>
      </c>
      <c r="E18" s="2">
        <f t="shared" si="0"/>
        <v>-4.4692685539105291E-2</v>
      </c>
      <c r="F18" s="28">
        <f t="shared" si="1"/>
        <v>8.4014261568329307E-2</v>
      </c>
    </row>
    <row r="19" spans="2:18">
      <c r="B19" s="2">
        <f t="shared" ref="B19:B42" si="4">B18+$C$14</f>
        <v>2.0106312125362855E-5</v>
      </c>
      <c r="C19" s="2">
        <f t="shared" si="2"/>
        <v>0.90482705246601947</v>
      </c>
      <c r="D19" s="2">
        <f t="shared" si="3"/>
        <v>5.1115399167995346E-2</v>
      </c>
      <c r="E19" s="2">
        <f t="shared" si="0"/>
        <v>5.1115399167995346E-2</v>
      </c>
      <c r="F19" s="28">
        <f t="shared" si="1"/>
        <v>9.0034185017369969E-2</v>
      </c>
    </row>
    <row r="20" spans="2:18">
      <c r="B20" s="2">
        <f t="shared" si="4"/>
        <v>3.0159468188044283E-5</v>
      </c>
      <c r="C20" s="2">
        <f t="shared" si="2"/>
        <v>0.12533323356430454</v>
      </c>
      <c r="D20" s="2">
        <f t="shared" si="3"/>
        <v>9.9470686559623336E-2</v>
      </c>
      <c r="E20" s="2">
        <f t="shared" si="0"/>
        <v>9.9470686559623336E-2</v>
      </c>
      <c r="F20" s="28">
        <f t="shared" si="1"/>
        <v>1.2471196024477414E-2</v>
      </c>
    </row>
    <row r="21" spans="2:18">
      <c r="B21" s="2">
        <f t="shared" si="4"/>
        <v>4.0212624250725711E-5</v>
      </c>
      <c r="C21" s="2">
        <f t="shared" si="2"/>
        <v>-0.77051324277578936</v>
      </c>
      <c r="D21" s="2">
        <f t="shared" si="3"/>
        <v>5.5482719179211354E-2</v>
      </c>
      <c r="E21" s="2">
        <f t="shared" si="0"/>
        <v>5.5482719179211354E-2</v>
      </c>
      <c r="F21" s="28">
        <f t="shared" si="1"/>
        <v>-7.6669383026668939E-2</v>
      </c>
    </row>
    <row r="22" spans="2:18" ht="15.75">
      <c r="B22" s="2">
        <f t="shared" si="4"/>
        <v>5.0265780313407138E-5</v>
      </c>
      <c r="C22" s="2">
        <f t="shared" si="2"/>
        <v>-0.95105651629515364</v>
      </c>
      <c r="D22" s="2">
        <f t="shared" si="3"/>
        <v>-4.001243137059024E-2</v>
      </c>
      <c r="E22" s="2">
        <f t="shared" si="0"/>
        <v>-4.001243137059024E-2</v>
      </c>
      <c r="F22" s="28">
        <f t="shared" si="1"/>
        <v>-9.4634215584871575E-2</v>
      </c>
      <c r="Q22" s="26"/>
      <c r="R22" s="26"/>
    </row>
    <row r="23" spans="2:18" ht="15.75">
      <c r="B23" s="2">
        <f t="shared" si="4"/>
        <v>6.0318936376088566E-5</v>
      </c>
      <c r="C23" s="2">
        <f t="shared" si="2"/>
        <v>-0.24868988716485535</v>
      </c>
      <c r="D23" s="2">
        <f t="shared" si="3"/>
        <v>-9.836218490045226E-2</v>
      </c>
      <c r="E23" s="2">
        <f t="shared" si="0"/>
        <v>-9.836218490045226E-2</v>
      </c>
      <c r="F23" s="28">
        <f t="shared" si="1"/>
        <v>-2.4745713837717426E-2</v>
      </c>
      <c r="Q23" s="26"/>
      <c r="R23" s="26"/>
    </row>
    <row r="24" spans="2:18">
      <c r="B24" s="2">
        <f t="shared" si="4"/>
        <v>7.0372092438769987E-5</v>
      </c>
      <c r="C24" s="2">
        <f t="shared" si="2"/>
        <v>0.68454710592868795</v>
      </c>
      <c r="D24" s="2">
        <f t="shared" si="3"/>
        <v>-6.5397757194091383E-2</v>
      </c>
      <c r="E24" s="2">
        <f t="shared" si="0"/>
        <v>-6.5397757194091383E-2</v>
      </c>
      <c r="F24" s="28">
        <f t="shared" si="1"/>
        <v>6.8115382514608497E-2</v>
      </c>
    </row>
    <row r="25" spans="2:18">
      <c r="B25" s="2">
        <f t="shared" si="4"/>
        <v>8.0425248501451421E-5</v>
      </c>
      <c r="C25" s="2">
        <f t="shared" si="2"/>
        <v>0.98228725072868861</v>
      </c>
      <c r="D25" s="2">
        <f t="shared" si="3"/>
        <v>2.8278443628203073E-2</v>
      </c>
      <c r="E25" s="2">
        <f t="shared" si="0"/>
        <v>2.8278443628203073E-2</v>
      </c>
      <c r="F25" s="28">
        <f t="shared" si="1"/>
        <v>9.7741808040859551E-2</v>
      </c>
    </row>
    <row r="26" spans="2:18">
      <c r="B26" s="2">
        <f t="shared" si="4"/>
        <v>9.0478404564132856E-5</v>
      </c>
      <c r="C26" s="2">
        <f t="shared" si="2"/>
        <v>0.36812455268467797</v>
      </c>
      <c r="D26" s="2">
        <f t="shared" si="3"/>
        <v>9.5702452826679954E-2</v>
      </c>
      <c r="E26" s="2">
        <f t="shared" si="0"/>
        <v>9.5702452826679954E-2</v>
      </c>
      <c r="F26" s="28">
        <f t="shared" si="1"/>
        <v>3.6629976961363636E-2</v>
      </c>
    </row>
    <row r="27" spans="2:18">
      <c r="B27" s="2">
        <f t="shared" si="4"/>
        <v>1.0053156062681429E-4</v>
      </c>
      <c r="C27" s="2">
        <f t="shared" si="2"/>
        <v>-0.5877852522924728</v>
      </c>
      <c r="D27" s="2">
        <f t="shared" si="3"/>
        <v>7.4281433511293821E-2</v>
      </c>
      <c r="E27" s="2">
        <f t="shared" si="0"/>
        <v>7.4281433511293821E-2</v>
      </c>
      <c r="F27" s="28">
        <f t="shared" si="1"/>
        <v>-5.8487161730135608E-2</v>
      </c>
    </row>
    <row r="28" spans="2:18">
      <c r="B28" s="2">
        <f t="shared" si="4"/>
        <v>1.1058471668949572E-4</v>
      </c>
      <c r="C28" s="2">
        <f t="shared" si="2"/>
        <v>-0.99802672842827145</v>
      </c>
      <c r="D28" s="2">
        <f t="shared" si="3"/>
        <v>-1.6098487937076085E-2</v>
      </c>
      <c r="E28" s="2">
        <f t="shared" si="0"/>
        <v>-1.6098487937076085E-2</v>
      </c>
      <c r="F28" s="28">
        <f t="shared" si="1"/>
        <v>-9.9307953795917239E-2</v>
      </c>
    </row>
    <row r="29" spans="2:18">
      <c r="B29" s="2">
        <f t="shared" si="4"/>
        <v>1.2063787275217716E-4</v>
      </c>
      <c r="C29" s="2">
        <f t="shared" si="2"/>
        <v>-0.48175367410171321</v>
      </c>
      <c r="D29" s="2">
        <f t="shared" si="3"/>
        <v>-9.1533435901956756E-2</v>
      </c>
      <c r="E29" s="2">
        <f t="shared" si="0"/>
        <v>-9.1533435901956756E-2</v>
      </c>
      <c r="F29" s="28">
        <f t="shared" si="1"/>
        <v>-4.7936563466641394E-2</v>
      </c>
    </row>
    <row r="30" spans="2:18">
      <c r="B30" s="2">
        <f t="shared" si="4"/>
        <v>1.3069102881485859E-4</v>
      </c>
      <c r="C30" s="2">
        <f t="shared" si="2"/>
        <v>0.48175367410171699</v>
      </c>
      <c r="D30" s="2">
        <f t="shared" si="3"/>
        <v>-8.1993647248445697E-2</v>
      </c>
      <c r="E30" s="2">
        <f t="shared" si="0"/>
        <v>-8.1993647248445697E-2</v>
      </c>
      <c r="F30" s="28">
        <f t="shared" si="1"/>
        <v>4.7936563466641768E-2</v>
      </c>
    </row>
    <row r="31" spans="2:18">
      <c r="B31" s="2">
        <f t="shared" si="4"/>
        <v>1.4074418487754003E-4</v>
      </c>
      <c r="C31" s="2">
        <f t="shared" si="2"/>
        <v>0.99802672842827178</v>
      </c>
      <c r="D31" s="2">
        <f t="shared" si="3"/>
        <v>3.6646494744106027E-3</v>
      </c>
      <c r="E31" s="2">
        <f t="shared" si="0"/>
        <v>3.6646494744106027E-3</v>
      </c>
      <c r="F31" s="28">
        <f t="shared" si="1"/>
        <v>9.9307953795917267E-2</v>
      </c>
    </row>
    <row r="32" spans="2:18">
      <c r="B32" s="2">
        <f t="shared" si="4"/>
        <v>1.5079734094022146E-4</v>
      </c>
      <c r="C32" s="2">
        <f t="shared" si="2"/>
        <v>0.58778525229246925</v>
      </c>
      <c r="D32" s="2">
        <f t="shared" si="3"/>
        <v>8.5920882013635583E-2</v>
      </c>
      <c r="E32" s="2">
        <f t="shared" si="0"/>
        <v>8.5920882013635583E-2</v>
      </c>
      <c r="F32" s="28">
        <f t="shared" si="1"/>
        <v>5.8487161730135254E-2</v>
      </c>
    </row>
    <row r="33" spans="2:16">
      <c r="B33" s="2">
        <f t="shared" si="4"/>
        <v>1.608504970029029E-4</v>
      </c>
      <c r="C33" s="2">
        <f t="shared" si="2"/>
        <v>-0.3681245526846787</v>
      </c>
      <c r="D33" s="2">
        <f t="shared" si="3"/>
        <v>8.8412772187858951E-2</v>
      </c>
      <c r="E33" s="2">
        <f t="shared" si="0"/>
        <v>8.8412772187858951E-2</v>
      </c>
      <c r="F33" s="28">
        <f t="shared" si="1"/>
        <v>-3.6629976961363706E-2</v>
      </c>
    </row>
    <row r="34" spans="2:16">
      <c r="B34" s="2">
        <f t="shared" si="4"/>
        <v>1.7090365306558433E-4</v>
      </c>
      <c r="C34" s="2">
        <f t="shared" si="2"/>
        <v>-0.98228725072868905</v>
      </c>
      <c r="D34" s="2">
        <f t="shared" si="3"/>
        <v>8.8269826996218159E-3</v>
      </c>
      <c r="E34" s="2">
        <f t="shared" si="0"/>
        <v>8.8269826996218159E-3</v>
      </c>
      <c r="F34" s="28">
        <f t="shared" si="1"/>
        <v>-9.7741808040859593E-2</v>
      </c>
    </row>
    <row r="35" spans="2:16">
      <c r="B35" s="2">
        <f t="shared" si="4"/>
        <v>1.8095680912826577E-4</v>
      </c>
      <c r="C35" s="2">
        <f t="shared" si="2"/>
        <v>-0.68454710592868606</v>
      </c>
      <c r="D35" s="2">
        <f t="shared" si="3"/>
        <v>-7.8953304489312301E-2</v>
      </c>
      <c r="E35" s="2">
        <f t="shared" si="0"/>
        <v>-7.8953304489312301E-2</v>
      </c>
      <c r="F35" s="28">
        <f t="shared" si="1"/>
        <v>-6.8115382514608303E-2</v>
      </c>
    </row>
    <row r="36" spans="2:16">
      <c r="B36" s="2">
        <f t="shared" si="4"/>
        <v>1.910099651909472E-4</v>
      </c>
      <c r="C36" s="2">
        <f t="shared" si="2"/>
        <v>0.24868988716485957</v>
      </c>
      <c r="D36" s="2">
        <f t="shared" si="3"/>
        <v>-9.3437574894639719E-2</v>
      </c>
      <c r="E36" s="2">
        <f t="shared" si="0"/>
        <v>-9.3437574894639719E-2</v>
      </c>
      <c r="F36" s="28">
        <f t="shared" si="1"/>
        <v>2.4745713837717842E-2</v>
      </c>
      <c r="H36" s="6" t="s">
        <v>65</v>
      </c>
    </row>
    <row r="37" spans="2:16">
      <c r="B37" s="2">
        <f t="shared" si="4"/>
        <v>2.0106312125362863E-4</v>
      </c>
      <c r="C37" s="2">
        <f t="shared" si="2"/>
        <v>0.95105651629515553</v>
      </c>
      <c r="D37" s="2">
        <f t="shared" si="3"/>
        <v>-2.1179408083496984E-2</v>
      </c>
      <c r="E37" s="2">
        <f t="shared" si="0"/>
        <v>-2.1179408083496984E-2</v>
      </c>
      <c r="F37" s="28">
        <f t="shared" si="1"/>
        <v>9.463421558487177E-2</v>
      </c>
      <c r="H37" s="12" t="s">
        <v>64</v>
      </c>
      <c r="I37" s="12">
        <f>I3</f>
        <v>5</v>
      </c>
      <c r="J37" s="12" t="s">
        <v>17</v>
      </c>
      <c r="K37" s="13" t="str">
        <f>TRIM(H37)&amp;"   "&amp;IF(I37&gt;0,"+","")&amp;TRIM(I37)&amp;" "&amp;TRIM(J37)</f>
        <v>V+:   +5 V</v>
      </c>
    </row>
    <row r="38" spans="2:16">
      <c r="B38" s="2">
        <f t="shared" si="4"/>
        <v>2.1111627731631007E-4</v>
      </c>
      <c r="C38" s="2">
        <f t="shared" si="2"/>
        <v>0.77051324277578437</v>
      </c>
      <c r="D38" s="2">
        <f t="shared" si="3"/>
        <v>7.0740586188774629E-2</v>
      </c>
      <c r="E38" s="2">
        <f t="shared" si="0"/>
        <v>7.0740586188774629E-2</v>
      </c>
      <c r="F38" s="28">
        <f t="shared" si="1"/>
        <v>7.6669383026668453E-2</v>
      </c>
      <c r="H38" s="12" t="s">
        <v>66</v>
      </c>
      <c r="I38" s="12">
        <f>I4</f>
        <v>-5</v>
      </c>
      <c r="J38" s="12" t="s">
        <v>17</v>
      </c>
      <c r="K38" s="13" t="str">
        <f t="shared" ref="K38:K39" si="5">TRIM(H38)&amp;"   "&amp;IF(I38&gt;0,"+","")&amp;TRIM(I38)&amp;" "&amp;TRIM(J38)</f>
        <v>V-:   -5 V</v>
      </c>
    </row>
    <row r="39" spans="2:16">
      <c r="B39" s="2">
        <f t="shared" si="4"/>
        <v>2.211694333789915E-4</v>
      </c>
      <c r="C39" s="2">
        <f t="shared" si="2"/>
        <v>-0.12533323356431325</v>
      </c>
      <c r="D39" s="2">
        <f t="shared" si="3"/>
        <v>9.6988811228430324E-2</v>
      </c>
      <c r="E39" s="2">
        <f t="shared" si="0"/>
        <v>9.6988811228430324E-2</v>
      </c>
      <c r="F39" s="28">
        <f t="shared" si="1"/>
        <v>-1.2471196024478279E-2</v>
      </c>
      <c r="H39" s="12" t="s">
        <v>29</v>
      </c>
      <c r="I39" s="12">
        <f>I8</f>
        <v>1</v>
      </c>
      <c r="J39" s="12" t="s">
        <v>17</v>
      </c>
      <c r="K39" s="13" t="str">
        <f t="shared" si="5"/>
        <v>Vin:   +1 V</v>
      </c>
    </row>
    <row r="40" spans="2:16">
      <c r="B40" s="2">
        <f t="shared" si="4"/>
        <v>2.3122258944167294E-4</v>
      </c>
      <c r="C40" s="2">
        <f t="shared" si="2"/>
        <v>-0.90482705246602246</v>
      </c>
      <c r="D40" s="2">
        <f t="shared" si="3"/>
        <v>3.3197821549930631E-2</v>
      </c>
      <c r="E40" s="2">
        <f t="shared" si="0"/>
        <v>3.3197821549930631E-2</v>
      </c>
      <c r="F40" s="28">
        <f t="shared" si="1"/>
        <v>-9.0034185017370261E-2</v>
      </c>
      <c r="H40" s="12" t="s">
        <v>67</v>
      </c>
      <c r="I40" s="12">
        <f>C3</f>
        <v>1</v>
      </c>
      <c r="J40" s="12" t="s">
        <v>16</v>
      </c>
      <c r="K40" s="13" t="str">
        <f>TRIM(H40)&amp;"   "&amp;TRIM(I40)&amp;" "&amp;TRIM(J40)</f>
        <v>R1:   1 K</v>
      </c>
      <c r="P40" s="2" t="s">
        <v>293</v>
      </c>
    </row>
    <row r="41" spans="2:16">
      <c r="B41" s="2">
        <f t="shared" si="4"/>
        <v>2.4127574550435437E-4</v>
      </c>
      <c r="C41" s="2">
        <f t="shared" si="2"/>
        <v>-0.84432792550201063</v>
      </c>
      <c r="D41" s="2">
        <f t="shared" si="3"/>
        <v>-6.1412246585662411E-2</v>
      </c>
      <c r="E41" s="2">
        <f t="shared" si="0"/>
        <v>-6.1412246585662411E-2</v>
      </c>
      <c r="F41" s="28">
        <f t="shared" si="1"/>
        <v>-8.4014261568328863E-2</v>
      </c>
      <c r="H41" s="12" t="s">
        <v>100</v>
      </c>
      <c r="I41" s="12">
        <f>C4</f>
        <v>0.1</v>
      </c>
      <c r="J41" s="12" t="s">
        <v>83</v>
      </c>
      <c r="K41" s="13" t="str">
        <f>TRIM(H41)&amp;"   "&amp;TRIM(I41)&amp;" "&amp;TRIM(J41)</f>
        <v>C1:   0.1 uF</v>
      </c>
      <c r="P41" s="2" t="s">
        <v>294</v>
      </c>
    </row>
    <row r="42" spans="2:16">
      <c r="B42" s="2">
        <f t="shared" si="4"/>
        <v>2.5132890156703581E-4</v>
      </c>
      <c r="C42" s="2">
        <f t="shared" si="2"/>
        <v>9.6780222724746068E-15</v>
      </c>
      <c r="D42" s="2">
        <f t="shared" si="3"/>
        <v>-9.9010476070841125E-2</v>
      </c>
      <c r="E42" s="2">
        <f t="shared" si="0"/>
        <v>-9.9010476070841125E-2</v>
      </c>
      <c r="F42" s="28">
        <f t="shared" si="1"/>
        <v>9.630048587820372E-16</v>
      </c>
      <c r="H42" s="12" t="s">
        <v>101</v>
      </c>
      <c r="I42" s="12">
        <f>ROUND(C10,0)</f>
        <v>15915</v>
      </c>
      <c r="J42" s="12" t="s">
        <v>80</v>
      </c>
      <c r="K42" s="13" t="str">
        <f>TRIM(H42)&amp;"   "&amp;TRIM(I42)&amp;" "&amp;TRIM(J42)</f>
        <v>f,signal:   15915 Hz</v>
      </c>
    </row>
    <row r="44" spans="2:16">
      <c r="B44" s="6" t="s">
        <v>92</v>
      </c>
    </row>
    <row r="45" spans="2:16" ht="15.75">
      <c r="B45" s="14"/>
      <c r="C45" s="2" t="s">
        <v>95</v>
      </c>
    </row>
    <row r="46" spans="2:16">
      <c r="B46" s="7" t="s">
        <v>93</v>
      </c>
      <c r="C46" s="7" t="s">
        <v>97</v>
      </c>
      <c r="D46" s="7" t="s">
        <v>94</v>
      </c>
      <c r="E46" s="7" t="s">
        <v>218</v>
      </c>
    </row>
    <row r="47" spans="2:16">
      <c r="B47" s="2">
        <v>1</v>
      </c>
      <c r="C47" s="2">
        <f>1/(2*PI()*B47*$C$4*0.000001)</f>
        <v>1591549.4309189534</v>
      </c>
      <c r="D47" s="2">
        <f>20*LOG(1/SQRT(1+(B47/$C$12)^2))</f>
        <v>-1.7145255528834613E-6</v>
      </c>
      <c r="E47" s="2">
        <f t="shared" ref="E47:E78" si="6">20*LOG(C47/SQRT((C47^2+($C$3*1000)^2)))</f>
        <v>-1.7145255528834613E-6</v>
      </c>
    </row>
    <row r="48" spans="2:16">
      <c r="B48" s="2">
        <v>2</v>
      </c>
      <c r="C48" s="2">
        <f t="shared" ref="C48:C101" si="7">1/(2*PI()*B48*$C$4*0.000001)</f>
        <v>795774.71545947669</v>
      </c>
      <c r="D48" s="2">
        <f t="shared" ref="D48:D101" si="8">20*LOG(1/SQRT(1+(B48/$C$12)^2))</f>
        <v>-6.8580981524042927E-6</v>
      </c>
      <c r="E48" s="2">
        <f t="shared" si="6"/>
        <v>-6.8580981533686203E-6</v>
      </c>
    </row>
    <row r="49" spans="2:5">
      <c r="B49" s="2">
        <v>3</v>
      </c>
      <c r="C49" s="2">
        <f t="shared" si="7"/>
        <v>530516.4769729845</v>
      </c>
      <c r="D49" s="2">
        <f t="shared" si="8"/>
        <v>-1.5430705615359815E-5</v>
      </c>
      <c r="E49" s="2">
        <f t="shared" si="6"/>
        <v>-1.5430705615359815E-5</v>
      </c>
    </row>
    <row r="50" spans="2:5">
      <c r="B50" s="2">
        <v>4</v>
      </c>
      <c r="C50" s="2">
        <f t="shared" si="7"/>
        <v>397887.35772973835</v>
      </c>
      <c r="D50" s="2">
        <f t="shared" si="8"/>
        <v>-2.7432327633425711E-5</v>
      </c>
      <c r="E50" s="2">
        <f t="shared" si="6"/>
        <v>-2.7432327633425711E-5</v>
      </c>
    </row>
    <row r="51" spans="2:5">
      <c r="B51" s="2">
        <v>5</v>
      </c>
      <c r="C51" s="2">
        <f t="shared" si="7"/>
        <v>318309.88618379069</v>
      </c>
      <c r="D51" s="2">
        <f t="shared" si="8"/>
        <v>-4.2862935778801728E-5</v>
      </c>
      <c r="E51" s="2">
        <f t="shared" si="6"/>
        <v>-4.2862935779766058E-5</v>
      </c>
    </row>
    <row r="52" spans="2:5">
      <c r="B52" s="2">
        <v>6</v>
      </c>
      <c r="C52" s="2">
        <f t="shared" si="7"/>
        <v>265258.23848649225</v>
      </c>
      <c r="D52" s="2">
        <f t="shared" si="8"/>
        <v>-6.1722493504979615E-5</v>
      </c>
      <c r="E52" s="2">
        <f t="shared" si="6"/>
        <v>-6.1722493504979615E-5</v>
      </c>
    </row>
    <row r="53" spans="2:5">
      <c r="B53" s="2">
        <v>7</v>
      </c>
      <c r="C53" s="2">
        <f t="shared" si="7"/>
        <v>227364.20441699337</v>
      </c>
      <c r="D53" s="2">
        <f t="shared" si="8"/>
        <v>-8.4010956137811616E-5</v>
      </c>
      <c r="E53" s="2">
        <f t="shared" si="6"/>
        <v>-8.4010956137811616E-5</v>
      </c>
    </row>
    <row r="54" spans="2:5">
      <c r="B54" s="2">
        <v>8</v>
      </c>
      <c r="C54" s="2">
        <f t="shared" si="7"/>
        <v>198943.67886486917</v>
      </c>
      <c r="D54" s="2">
        <f t="shared" si="8"/>
        <v>-1.0972827088484521E-4</v>
      </c>
      <c r="E54" s="2">
        <f t="shared" si="6"/>
        <v>-1.0972827088580956E-4</v>
      </c>
    </row>
    <row r="55" spans="2:5">
      <c r="B55" s="2">
        <v>9</v>
      </c>
      <c r="C55" s="2">
        <f t="shared" si="7"/>
        <v>176838.82565766151</v>
      </c>
      <c r="D55" s="2">
        <f t="shared" si="8"/>
        <v>-1.3887437683302977E-4</v>
      </c>
      <c r="E55" s="2">
        <f t="shared" si="6"/>
        <v>-1.3887437683399412E-4</v>
      </c>
    </row>
    <row r="56" spans="2:5">
      <c r="B56" s="2">
        <v>10</v>
      </c>
      <c r="C56" s="2">
        <f t="shared" si="7"/>
        <v>159154.94309189534</v>
      </c>
      <c r="D56" s="2">
        <f t="shared" si="8"/>
        <v>-1.714492049482957E-4</v>
      </c>
      <c r="E56" s="2">
        <f t="shared" si="6"/>
        <v>-1.7144920494926007E-4</v>
      </c>
    </row>
    <row r="57" spans="2:5">
      <c r="B57" s="2">
        <v>20</v>
      </c>
      <c r="C57" s="2">
        <f t="shared" si="7"/>
        <v>79577.471545947672</v>
      </c>
      <c r="D57" s="2">
        <f t="shared" si="8"/>
        <v>-6.8575621307809048E-4</v>
      </c>
      <c r="E57" s="2">
        <f t="shared" si="6"/>
        <v>-6.8575621307905487E-4</v>
      </c>
    </row>
    <row r="58" spans="2:5">
      <c r="B58" s="2">
        <v>30</v>
      </c>
      <c r="C58" s="2">
        <f t="shared" si="7"/>
        <v>53051.647697298446</v>
      </c>
      <c r="D58" s="2">
        <f t="shared" si="8"/>
        <v>-1.5427992362874524E-3</v>
      </c>
      <c r="E58" s="2">
        <f t="shared" si="6"/>
        <v>-1.5427992362884171E-3</v>
      </c>
    </row>
    <row r="59" spans="2:5">
      <c r="B59" s="2">
        <v>40</v>
      </c>
      <c r="C59" s="2">
        <f t="shared" si="7"/>
        <v>39788.735772973836</v>
      </c>
      <c r="D59" s="2">
        <f t="shared" si="8"/>
        <v>-2.7423754011977773E-3</v>
      </c>
      <c r="E59" s="2">
        <f t="shared" si="6"/>
        <v>-2.7423754011977773E-3</v>
      </c>
    </row>
    <row r="60" spans="2:5">
      <c r="B60" s="2">
        <v>50</v>
      </c>
      <c r="C60" s="2">
        <f t="shared" si="7"/>
        <v>31830.988618379066</v>
      </c>
      <c r="D60" s="2">
        <f t="shared" si="8"/>
        <v>-4.2842009091494443E-3</v>
      </c>
      <c r="E60" s="2">
        <f t="shared" si="6"/>
        <v>-4.2842009091484806E-3</v>
      </c>
    </row>
    <row r="61" spans="2:5">
      <c r="B61" s="2">
        <v>60</v>
      </c>
      <c r="C61" s="2">
        <f t="shared" si="7"/>
        <v>26525.823848649223</v>
      </c>
      <c r="D61" s="2">
        <f t="shared" si="8"/>
        <v>-6.1679112598320984E-3</v>
      </c>
      <c r="E61" s="2">
        <f t="shared" si="6"/>
        <v>-6.1679112598311339E-3</v>
      </c>
    </row>
    <row r="62" spans="2:5">
      <c r="B62" s="2">
        <v>70</v>
      </c>
      <c r="C62" s="2">
        <f t="shared" si="7"/>
        <v>22736.420441699334</v>
      </c>
      <c r="D62" s="2">
        <f t="shared" si="8"/>
        <v>-8.393061538164364E-3</v>
      </c>
      <c r="E62" s="2">
        <f t="shared" si="6"/>
        <v>-8.3930615381633978E-3</v>
      </c>
    </row>
    <row r="63" spans="2:5">
      <c r="B63" s="2">
        <v>80</v>
      </c>
      <c r="C63" s="2">
        <f t="shared" si="7"/>
        <v>19894.367886486918</v>
      </c>
      <c r="D63" s="2">
        <f t="shared" si="8"/>
        <v>-1.0959126763966653E-2</v>
      </c>
      <c r="E63" s="2">
        <f t="shared" si="6"/>
        <v>-1.0959126763967621E-2</v>
      </c>
    </row>
    <row r="64" spans="2:5">
      <c r="B64" s="2">
        <v>90</v>
      </c>
      <c r="C64" s="2">
        <f t="shared" si="7"/>
        <v>17683.882565766147</v>
      </c>
      <c r="D64" s="2">
        <f t="shared" si="8"/>
        <v>-1.386550230384258E-2</v>
      </c>
      <c r="E64" s="2">
        <f t="shared" si="6"/>
        <v>-1.3865502303841613E-2</v>
      </c>
    </row>
    <row r="65" spans="2:5">
      <c r="B65" s="2">
        <v>100</v>
      </c>
      <c r="C65" s="2">
        <f t="shared" si="7"/>
        <v>15915.494309189533</v>
      </c>
      <c r="D65" s="2">
        <f t="shared" si="8"/>
        <v>-1.7111504344582869E-2</v>
      </c>
      <c r="E65" s="2">
        <f t="shared" si="6"/>
        <v>-1.7111504344581904E-2</v>
      </c>
    </row>
    <row r="66" spans="2:5">
      <c r="B66" s="2">
        <v>200</v>
      </c>
      <c r="C66" s="2">
        <f t="shared" si="7"/>
        <v>7957.7471545947665</v>
      </c>
      <c r="D66" s="2">
        <f t="shared" si="8"/>
        <v>-6.8045175474465092E-2</v>
      </c>
      <c r="E66" s="2">
        <f t="shared" si="6"/>
        <v>-6.8045175474466063E-2</v>
      </c>
    </row>
    <row r="67" spans="2:5">
      <c r="B67" s="2">
        <v>300</v>
      </c>
      <c r="C67" s="2">
        <f t="shared" si="7"/>
        <v>5305.1647697298449</v>
      </c>
      <c r="D67" s="2">
        <f t="shared" si="8"/>
        <v>-0.15162926719815317</v>
      </c>
      <c r="E67" s="2">
        <f t="shared" si="6"/>
        <v>-0.15162926719815417</v>
      </c>
    </row>
    <row r="68" spans="2:5">
      <c r="B68" s="2">
        <v>400</v>
      </c>
      <c r="C68" s="2">
        <f t="shared" si="7"/>
        <v>3978.8735772973832</v>
      </c>
      <c r="D68" s="2">
        <f t="shared" si="8"/>
        <v>-0.26600862189675395</v>
      </c>
      <c r="E68" s="2">
        <f t="shared" si="6"/>
        <v>-0.26600862189675495</v>
      </c>
    </row>
    <row r="69" spans="2:5">
      <c r="B69" s="2">
        <v>500</v>
      </c>
      <c r="C69" s="2">
        <f t="shared" si="7"/>
        <v>3183.098861837907</v>
      </c>
      <c r="D69" s="2">
        <f t="shared" si="8"/>
        <v>-0.40877560788352241</v>
      </c>
      <c r="E69" s="2">
        <f t="shared" si="6"/>
        <v>-0.40877560788352241</v>
      </c>
    </row>
    <row r="70" spans="2:5">
      <c r="B70" s="2">
        <v>600</v>
      </c>
      <c r="C70" s="2">
        <f t="shared" si="7"/>
        <v>2652.5823848649225</v>
      </c>
      <c r="D70" s="2">
        <f t="shared" si="8"/>
        <v>-0.57712612523795315</v>
      </c>
      <c r="E70" s="2">
        <f t="shared" si="6"/>
        <v>-0.57712612523795515</v>
      </c>
    </row>
    <row r="71" spans="2:5">
      <c r="B71" s="2">
        <v>700</v>
      </c>
      <c r="C71" s="2">
        <f t="shared" si="7"/>
        <v>2273.6420441699333</v>
      </c>
      <c r="D71" s="2">
        <f t="shared" si="8"/>
        <v>-0.76802135025538609</v>
      </c>
      <c r="E71" s="2">
        <f t="shared" si="6"/>
        <v>-0.76802135025538498</v>
      </c>
    </row>
    <row r="72" spans="2:5">
      <c r="B72" s="2">
        <v>800</v>
      </c>
      <c r="C72" s="2">
        <f t="shared" si="7"/>
        <v>1989.4367886486916</v>
      </c>
      <c r="D72" s="2">
        <f t="shared" si="8"/>
        <v>-0.97833858981619204</v>
      </c>
      <c r="E72" s="2">
        <f t="shared" si="6"/>
        <v>-0.97833858981619204</v>
      </c>
    </row>
    <row r="73" spans="2:5">
      <c r="B73" s="2">
        <v>900</v>
      </c>
      <c r="C73" s="2">
        <f t="shared" si="7"/>
        <v>1768.388256576615</v>
      </c>
      <c r="D73" s="2">
        <f t="shared" si="8"/>
        <v>-1.2049995751356051</v>
      </c>
      <c r="E73" s="2">
        <f t="shared" si="6"/>
        <v>-1.2049995751356051</v>
      </c>
    </row>
    <row r="74" spans="2:5">
      <c r="B74" s="2">
        <v>1000</v>
      </c>
      <c r="C74" s="2">
        <f t="shared" si="7"/>
        <v>1591.5494309189535</v>
      </c>
      <c r="D74" s="2">
        <f t="shared" si="8"/>
        <v>-1.4450701162052859</v>
      </c>
      <c r="E74" s="2">
        <f t="shared" si="6"/>
        <v>-1.4450701162052859</v>
      </c>
    </row>
    <row r="75" spans="2:5">
      <c r="B75" s="2">
        <v>2000</v>
      </c>
      <c r="C75" s="2">
        <f t="shared" si="7"/>
        <v>795.77471545947674</v>
      </c>
      <c r="D75" s="2">
        <f t="shared" si="8"/>
        <v>-4.1147436202747096</v>
      </c>
      <c r="E75" s="2">
        <f t="shared" si="6"/>
        <v>-4.1147436202747096</v>
      </c>
    </row>
    <row r="76" spans="2:5">
      <c r="B76" s="2">
        <v>3000</v>
      </c>
      <c r="C76" s="2">
        <f t="shared" si="7"/>
        <v>530.51647697298449</v>
      </c>
      <c r="D76" s="2">
        <f t="shared" si="8"/>
        <v>-6.5830314304388384</v>
      </c>
      <c r="E76" s="2">
        <f t="shared" si="6"/>
        <v>-6.5830314304388384</v>
      </c>
    </row>
    <row r="77" spans="2:5">
      <c r="B77" s="2">
        <v>4000</v>
      </c>
      <c r="C77" s="2">
        <f t="shared" si="7"/>
        <v>397.88735772973837</v>
      </c>
      <c r="D77" s="2">
        <f t="shared" si="8"/>
        <v>-8.6430615588033994</v>
      </c>
      <c r="E77" s="2">
        <f t="shared" si="6"/>
        <v>-8.6430615588034012</v>
      </c>
    </row>
    <row r="78" spans="2:5">
      <c r="B78" s="2">
        <v>5000</v>
      </c>
      <c r="C78" s="2">
        <f t="shared" si="7"/>
        <v>318.30988618379064</v>
      </c>
      <c r="D78" s="2">
        <f t="shared" si="8"/>
        <v>-10.362137382398966</v>
      </c>
      <c r="E78" s="2">
        <f t="shared" si="6"/>
        <v>-10.362137382398968</v>
      </c>
    </row>
    <row r="79" spans="2:5">
      <c r="B79" s="2">
        <v>6000</v>
      </c>
      <c r="C79" s="2">
        <f t="shared" si="7"/>
        <v>265.25823848649225</v>
      </c>
      <c r="D79" s="2">
        <f t="shared" si="8"/>
        <v>-11.821928927044215</v>
      </c>
      <c r="E79" s="2">
        <f t="shared" ref="E79:E101" si="9">20*LOG(C79/SQRT((C79^2+($C$3*1000)^2)))</f>
        <v>-11.821928927044215</v>
      </c>
    </row>
    <row r="80" spans="2:5">
      <c r="B80" s="2">
        <v>7000</v>
      </c>
      <c r="C80" s="2">
        <f t="shared" si="7"/>
        <v>227.36420441699337</v>
      </c>
      <c r="D80" s="2">
        <f t="shared" si="8"/>
        <v>-13.084454117991323</v>
      </c>
      <c r="E80" s="2">
        <f t="shared" si="9"/>
        <v>-13.084454117991324</v>
      </c>
    </row>
    <row r="81" spans="2:5">
      <c r="B81" s="2">
        <v>8000</v>
      </c>
      <c r="C81" s="2">
        <f t="shared" si="7"/>
        <v>198.94367886486918</v>
      </c>
      <c r="D81" s="2">
        <f t="shared" si="8"/>
        <v>-14.193970362741471</v>
      </c>
      <c r="E81" s="2">
        <f t="shared" si="9"/>
        <v>-14.193970362741473</v>
      </c>
    </row>
    <row r="82" spans="2:5">
      <c r="B82" s="2">
        <v>9000</v>
      </c>
      <c r="C82" s="2">
        <f t="shared" si="7"/>
        <v>176.83882565766146</v>
      </c>
      <c r="D82" s="2">
        <f t="shared" si="8"/>
        <v>-15.182179694787161</v>
      </c>
      <c r="E82" s="2">
        <f t="shared" si="9"/>
        <v>-15.182179694787166</v>
      </c>
    </row>
    <row r="83" spans="2:5">
      <c r="B83" s="2">
        <v>10000</v>
      </c>
      <c r="C83" s="2">
        <f t="shared" si="7"/>
        <v>159.15494309189532</v>
      </c>
      <c r="D83" s="2">
        <f t="shared" si="8"/>
        <v>-16.072235265805517</v>
      </c>
      <c r="E83" s="2">
        <f t="shared" si="9"/>
        <v>-16.072235265805517</v>
      </c>
    </row>
    <row r="84" spans="2:5">
      <c r="B84" s="2">
        <v>20000</v>
      </c>
      <c r="C84" s="2">
        <f t="shared" si="7"/>
        <v>79.57747154594766</v>
      </c>
      <c r="D84" s="2">
        <f t="shared" si="8"/>
        <v>-22.011612586390061</v>
      </c>
      <c r="E84" s="2">
        <f t="shared" si="9"/>
        <v>-22.011612586390065</v>
      </c>
    </row>
    <row r="85" spans="2:5">
      <c r="B85" s="2">
        <v>30000</v>
      </c>
      <c r="C85" s="2">
        <f t="shared" si="7"/>
        <v>53.051647697298449</v>
      </c>
      <c r="D85" s="2">
        <f t="shared" si="8"/>
        <v>-25.518228412625149</v>
      </c>
      <c r="E85" s="2">
        <f t="shared" si="9"/>
        <v>-25.518228412625152</v>
      </c>
    </row>
    <row r="86" spans="2:5">
      <c r="B86" s="2">
        <v>40000</v>
      </c>
      <c r="C86" s="2">
        <f t="shared" si="7"/>
        <v>39.78873577297383</v>
      </c>
      <c r="D86" s="2">
        <f t="shared" si="8"/>
        <v>-28.011667261840323</v>
      </c>
      <c r="E86" s="2">
        <f t="shared" si="9"/>
        <v>-28.011667261840326</v>
      </c>
    </row>
    <row r="87" spans="2:5">
      <c r="B87" s="2">
        <v>50000</v>
      </c>
      <c r="C87" s="2">
        <f t="shared" si="7"/>
        <v>31.830988618379067</v>
      </c>
      <c r="D87" s="2">
        <f t="shared" si="8"/>
        <v>-29.947395549253173</v>
      </c>
      <c r="E87" s="2">
        <f t="shared" si="9"/>
        <v>-29.947395549253176</v>
      </c>
    </row>
    <row r="88" spans="2:5">
      <c r="B88" s="2">
        <v>60000</v>
      </c>
      <c r="C88" s="2">
        <f t="shared" si="7"/>
        <v>26.525823848649225</v>
      </c>
      <c r="D88" s="2">
        <f t="shared" si="8"/>
        <v>-31.529677080213759</v>
      </c>
      <c r="E88" s="2">
        <f t="shared" si="9"/>
        <v>-31.529677080213759</v>
      </c>
    </row>
    <row r="89" spans="2:5">
      <c r="B89" s="2">
        <v>70000</v>
      </c>
      <c r="C89" s="2">
        <f t="shared" si="7"/>
        <v>22.736420441699334</v>
      </c>
      <c r="D89" s="2">
        <f t="shared" si="8"/>
        <v>-32.867802650164421</v>
      </c>
      <c r="E89" s="2">
        <f t="shared" si="9"/>
        <v>-32.867802650164421</v>
      </c>
    </row>
    <row r="90" spans="2:5">
      <c r="B90" s="2">
        <v>80000</v>
      </c>
      <c r="C90" s="2">
        <f t="shared" si="7"/>
        <v>19.894367886486915</v>
      </c>
      <c r="D90" s="2">
        <f t="shared" si="8"/>
        <v>-34.027115643146644</v>
      </c>
      <c r="E90" s="2">
        <f t="shared" si="9"/>
        <v>-34.027115643146651</v>
      </c>
    </row>
    <row r="91" spans="2:5">
      <c r="B91" s="2">
        <v>90000</v>
      </c>
      <c r="C91" s="2">
        <f t="shared" si="7"/>
        <v>17.683882565766147</v>
      </c>
      <c r="D91" s="2">
        <f t="shared" si="8"/>
        <v>-35.049805468049144</v>
      </c>
      <c r="E91" s="2">
        <f t="shared" si="9"/>
        <v>-35.049805468049144</v>
      </c>
    </row>
    <row r="92" spans="2:5">
      <c r="B92" s="2">
        <v>100000</v>
      </c>
      <c r="C92" s="2">
        <f t="shared" si="7"/>
        <v>15.915494309189533</v>
      </c>
      <c r="D92" s="2">
        <f t="shared" si="8"/>
        <v>-35.964697308632857</v>
      </c>
      <c r="E92" s="2">
        <f t="shared" si="9"/>
        <v>-35.964697308632864</v>
      </c>
    </row>
    <row r="93" spans="2:5">
      <c r="B93" s="2">
        <v>200000</v>
      </c>
      <c r="C93" s="2">
        <f t="shared" si="7"/>
        <v>7.9577471545947667</v>
      </c>
      <c r="D93" s="2">
        <f t="shared" si="8"/>
        <v>-41.984472291927837</v>
      </c>
      <c r="E93" s="2">
        <f t="shared" si="9"/>
        <v>-41.984472291927837</v>
      </c>
    </row>
    <row r="94" spans="2:5">
      <c r="B94" s="2">
        <v>300000</v>
      </c>
      <c r="C94" s="2">
        <f t="shared" si="7"/>
        <v>5.3051647697298447</v>
      </c>
      <c r="D94" s="2">
        <f t="shared" si="8"/>
        <v>-45.506144691032596</v>
      </c>
      <c r="E94" s="2">
        <f t="shared" si="9"/>
        <v>-45.506144691032596</v>
      </c>
    </row>
    <row r="95" spans="2:5">
      <c r="B95" s="2">
        <v>400000</v>
      </c>
      <c r="C95" s="2">
        <f t="shared" si="7"/>
        <v>3.9788735772973833</v>
      </c>
      <c r="D95" s="2">
        <f t="shared" si="8"/>
        <v>-48.004865948225671</v>
      </c>
      <c r="E95" s="2">
        <f t="shared" si="9"/>
        <v>-48.004865948225671</v>
      </c>
    </row>
    <row r="96" spans="2:5">
      <c r="B96" s="2">
        <v>500000</v>
      </c>
      <c r="C96" s="2">
        <f t="shared" si="7"/>
        <v>3.1830988618379075</v>
      </c>
      <c r="D96" s="2">
        <f t="shared" si="8"/>
        <v>-49.943041456890711</v>
      </c>
      <c r="E96" s="2">
        <f t="shared" si="9"/>
        <v>-49.943041456890711</v>
      </c>
    </row>
    <row r="97" spans="2:5">
      <c r="B97" s="2">
        <v>600000</v>
      </c>
      <c r="C97" s="2">
        <f t="shared" si="7"/>
        <v>2.6525823848649224</v>
      </c>
      <c r="D97" s="2">
        <f t="shared" si="8"/>
        <v>-51.526652932526943</v>
      </c>
      <c r="E97" s="2">
        <f t="shared" si="9"/>
        <v>-51.526652932526943</v>
      </c>
    </row>
    <row r="98" spans="2:5">
      <c r="B98" s="2">
        <v>700000</v>
      </c>
      <c r="C98" s="2">
        <f t="shared" si="7"/>
        <v>2.2736420441699337</v>
      </c>
      <c r="D98" s="2">
        <f t="shared" si="8"/>
        <v>-52.865580618017447</v>
      </c>
      <c r="E98" s="2">
        <f t="shared" si="9"/>
        <v>-52.865580618017447</v>
      </c>
    </row>
    <row r="99" spans="2:5">
      <c r="B99" s="2">
        <v>800000</v>
      </c>
      <c r="C99" s="2">
        <f t="shared" si="7"/>
        <v>1.9894367886486917</v>
      </c>
      <c r="D99" s="2">
        <f t="shared" si="8"/>
        <v>-54.025414295729249</v>
      </c>
      <c r="E99" s="2">
        <f t="shared" si="9"/>
        <v>-54.025414295729249</v>
      </c>
    </row>
    <row r="100" spans="2:5">
      <c r="B100" s="2">
        <v>900000</v>
      </c>
      <c r="C100" s="2">
        <f t="shared" si="7"/>
        <v>1.7683882565766149</v>
      </c>
      <c r="D100" s="2">
        <f t="shared" si="8"/>
        <v>-55.048461137171685</v>
      </c>
      <c r="E100" s="2">
        <f t="shared" si="9"/>
        <v>-55.048461137171685</v>
      </c>
    </row>
    <row r="101" spans="2:5">
      <c r="B101" s="2">
        <v>1000000</v>
      </c>
      <c r="C101" s="2">
        <f t="shared" si="7"/>
        <v>1.5915494309189537</v>
      </c>
      <c r="D101" s="2">
        <f t="shared" si="8"/>
        <v>-55.963608367956105</v>
      </c>
      <c r="E101" s="2">
        <f t="shared" si="9"/>
        <v>-55.963608367956105</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6D576A-DC7C-4D4E-BFF5-60DF7DA436FC}">
  <dimension ref="B1:AB100"/>
  <sheetViews>
    <sheetView zoomScale="85" zoomScaleNormal="85"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ustomWidth="1"/>
    <col min="8" max="8" width="11" style="2" customWidth="1"/>
    <col min="9" max="16384" width="9.140625" style="2"/>
  </cols>
  <sheetData>
    <row r="1" spans="2:28" ht="46.5">
      <c r="B1" s="1" t="s">
        <v>98</v>
      </c>
    </row>
    <row r="2" spans="2:28" ht="15.75" thickBot="1">
      <c r="B2" s="2" t="s">
        <v>228</v>
      </c>
      <c r="H2" s="6" t="s">
        <v>36</v>
      </c>
      <c r="AB2"/>
    </row>
    <row r="3" spans="2:28" ht="15.75" thickBot="1">
      <c r="B3" s="2" t="s">
        <v>12</v>
      </c>
      <c r="C3" s="4">
        <v>1</v>
      </c>
      <c r="D3" s="2" t="s">
        <v>16</v>
      </c>
      <c r="E3" s="33" t="s">
        <v>287</v>
      </c>
      <c r="F3" s="9">
        <f>2*PI()*C9</f>
        <v>9999.9972924563626</v>
      </c>
      <c r="H3" s="2" t="s">
        <v>9</v>
      </c>
      <c r="I3" s="4">
        <v>5</v>
      </c>
      <c r="J3" s="2" t="s">
        <v>18</v>
      </c>
    </row>
    <row r="4" spans="2:28" ht="15.75" thickBot="1">
      <c r="B4" s="2" t="s">
        <v>82</v>
      </c>
      <c r="C4" s="4">
        <v>0.1</v>
      </c>
      <c r="D4" s="2" t="s">
        <v>83</v>
      </c>
      <c r="E4" s="2" t="s">
        <v>291</v>
      </c>
      <c r="F4" s="9">
        <f>(F3*C3*1000*C4*0.000001)/SQRT(1+(F3*C3*1000*C4*0.000001)^2)</f>
        <v>0.70710668546040478</v>
      </c>
      <c r="H4" s="2" t="s">
        <v>10</v>
      </c>
      <c r="I4" s="5">
        <v>-5</v>
      </c>
      <c r="J4" s="2" t="s">
        <v>19</v>
      </c>
    </row>
    <row r="5" spans="2:28" ht="15.75" thickBot="1">
      <c r="B5" s="2" t="s">
        <v>97</v>
      </c>
      <c r="C5" s="3">
        <f>1/(2*PI()*C9*C4*0.000001)</f>
        <v>1000.0002707544371</v>
      </c>
      <c r="D5" s="2" t="s">
        <v>214</v>
      </c>
      <c r="E5" s="33" t="s">
        <v>288</v>
      </c>
      <c r="F5" s="9">
        <f>ATAN(1/(F3*C3*1000*C4*0.000001))</f>
        <v>0.78539829877464851</v>
      </c>
      <c r="G5" s="2" t="s">
        <v>290</v>
      </c>
      <c r="H5" s="2" t="s">
        <v>31</v>
      </c>
      <c r="I5" s="4">
        <v>1.2</v>
      </c>
      <c r="J5" s="2" t="s">
        <v>32</v>
      </c>
    </row>
    <row r="6" spans="2:28">
      <c r="B6" s="2" t="s">
        <v>0</v>
      </c>
      <c r="C6" s="3">
        <v>0</v>
      </c>
      <c r="D6" s="2" t="s">
        <v>17</v>
      </c>
      <c r="E6" s="17" t="s">
        <v>286</v>
      </c>
      <c r="F6" s="9">
        <f>ABS(F5)/F3</f>
        <v>7.8539851142472273E-5</v>
      </c>
      <c r="G6" s="2" t="s">
        <v>289</v>
      </c>
    </row>
    <row r="7" spans="2:28" ht="15" customHeight="1" thickBot="1">
      <c r="B7" s="2" t="s">
        <v>1</v>
      </c>
      <c r="C7" s="3">
        <f>1</f>
        <v>1</v>
      </c>
      <c r="D7" s="2" t="s">
        <v>39</v>
      </c>
      <c r="H7" s="6" t="s">
        <v>33</v>
      </c>
      <c r="M7" s="25"/>
      <c r="R7" s="26"/>
    </row>
    <row r="8" spans="2:28" ht="15" customHeight="1" thickBot="1">
      <c r="B8" s="2" t="s">
        <v>25</v>
      </c>
      <c r="C8" s="4">
        <v>1</v>
      </c>
      <c r="D8" s="2" t="s">
        <v>38</v>
      </c>
      <c r="H8" s="6" t="s">
        <v>29</v>
      </c>
      <c r="I8" s="4">
        <v>1</v>
      </c>
      <c r="J8" s="2" t="s">
        <v>17</v>
      </c>
      <c r="R8" s="26"/>
    </row>
    <row r="9" spans="2:28" ht="15.75" thickBot="1">
      <c r="B9" s="2" t="s">
        <v>84</v>
      </c>
      <c r="C9" s="4">
        <v>1591.549</v>
      </c>
      <c r="D9" s="2" t="s">
        <v>80</v>
      </c>
      <c r="H9" s="6" t="s">
        <v>34</v>
      </c>
      <c r="I9" s="3">
        <f>IF($C$7*I8/SQRT(1+($C$9/$C$11)^2)&gt;($I$3-$I$5),($I$3-$I$5),IF($C$7*I8/SQRT(1+($C$9/$C$11)^2)&lt;($I$4+$I$5),($I$4+$I$5),$C$7*I8/SQRT(1+($C$9/$C$11)^2)))</f>
        <v>0.70710687691267737</v>
      </c>
      <c r="J9" s="2" t="s">
        <v>17</v>
      </c>
    </row>
    <row r="10" spans="2:28">
      <c r="B10" s="2" t="s">
        <v>87</v>
      </c>
      <c r="C10" s="3">
        <f>1/C9</f>
        <v>6.2831870083798866E-4</v>
      </c>
      <c r="D10" s="2" t="s">
        <v>86</v>
      </c>
    </row>
    <row r="11" spans="2:28" ht="15.75" thickBot="1">
      <c r="B11" s="2" t="s">
        <v>81</v>
      </c>
      <c r="C11" s="3">
        <f>1/(2*PI()*(C3*1000)*(C4*0.000001))</f>
        <v>1591.5494309189537</v>
      </c>
      <c r="D11" s="2" t="s">
        <v>80</v>
      </c>
      <c r="H11" s="6" t="s">
        <v>103</v>
      </c>
    </row>
    <row r="12" spans="2:28" ht="15.75" thickBot="1">
      <c r="B12" s="2" t="s">
        <v>89</v>
      </c>
      <c r="C12" s="4">
        <v>4</v>
      </c>
      <c r="D12" s="2" t="s">
        <v>90</v>
      </c>
      <c r="H12" s="17" t="s">
        <v>104</v>
      </c>
      <c r="I12" s="3">
        <f>1000*(C3*1000)*(C4*0.000001)</f>
        <v>9.9999999999999992E-2</v>
      </c>
      <c r="J12" s="2" t="s">
        <v>105</v>
      </c>
    </row>
    <row r="13" spans="2:28">
      <c r="B13" s="2" t="s">
        <v>88</v>
      </c>
      <c r="C13" s="3">
        <f>C10*C12/25</f>
        <v>1.0053099213407818E-4</v>
      </c>
      <c r="D13" s="2" t="s">
        <v>86</v>
      </c>
    </row>
    <row r="14" spans="2:28">
      <c r="E14" s="6" t="s">
        <v>30</v>
      </c>
    </row>
    <row r="15" spans="2:28">
      <c r="B15" s="7" t="s">
        <v>85</v>
      </c>
      <c r="C15" s="7" t="s">
        <v>7</v>
      </c>
      <c r="D15" s="7" t="s">
        <v>3</v>
      </c>
      <c r="E15" s="7" t="s">
        <v>3</v>
      </c>
      <c r="F15" s="28" t="s">
        <v>216</v>
      </c>
      <c r="G15" s="28"/>
    </row>
    <row r="16" spans="2:28">
      <c r="B16" s="2">
        <v>0</v>
      </c>
      <c r="C16" s="2">
        <f>$C$8*SIN($B16*$C$9*2*PI())</f>
        <v>0</v>
      </c>
      <c r="D16" s="2">
        <f>$F$4*$C$8*SIN($F$3*B16+$F$5)</f>
        <v>0.49999999999998174</v>
      </c>
      <c r="E16" s="2">
        <f t="shared" ref="E16:E41" si="0">IF(D16&gt;($I$3-$I$5),($I$3-$I$5),IF(D16&lt;($I$4+$I$5),($I$4+$I$5),D16))</f>
        <v>0.49999999999998174</v>
      </c>
      <c r="F16" s="28">
        <f>C16*$C$3*1000/SQRT(($C$3*1000)^2+$C$5^2)</f>
        <v>0</v>
      </c>
      <c r="G16" s="28"/>
    </row>
    <row r="17" spans="2:7">
      <c r="B17" s="2">
        <f>B16+$C$13</f>
        <v>1.0053099213407818E-4</v>
      </c>
      <c r="C17" s="2">
        <f t="shared" ref="C17:C41" si="1">$C$8*SIN($B17*$C$9*2*PI())</f>
        <v>0.84432792550201508</v>
      </c>
      <c r="D17" s="2">
        <f t="shared" ref="D17:D41" si="2">$F$4*$C$8*SIN($F$3*B17+$F$5)</f>
        <v>0.69007724593774544</v>
      </c>
      <c r="E17" s="2">
        <f t="shared" si="0"/>
        <v>0.69007724593774544</v>
      </c>
      <c r="F17" s="28">
        <f t="shared" ref="F17:F41" si="3">C17*$C$3*1000/SQRT(($C$3*1000)^2+$C$5^2)</f>
        <v>0.59702992084338946</v>
      </c>
      <c r="G17" s="28"/>
    </row>
    <row r="18" spans="2:7">
      <c r="B18" s="2">
        <f t="shared" ref="B18:B41" si="4">B17+$C$13</f>
        <v>2.0106198426815636E-4</v>
      </c>
      <c r="C18" s="2">
        <f t="shared" si="1"/>
        <v>0.90482705246601947</v>
      </c>
      <c r="D18" s="2">
        <f t="shared" si="2"/>
        <v>0.23952375795752853</v>
      </c>
      <c r="E18" s="2">
        <f t="shared" si="0"/>
        <v>0.23952375795752853</v>
      </c>
      <c r="F18" s="28">
        <f t="shared" si="3"/>
        <v>0.63980925798415478</v>
      </c>
      <c r="G18" s="28"/>
    </row>
    <row r="19" spans="2:7">
      <c r="B19" s="2">
        <f t="shared" si="4"/>
        <v>3.0159297640223456E-4</v>
      </c>
      <c r="C19" s="2">
        <f t="shared" si="1"/>
        <v>0.12533323356430454</v>
      </c>
      <c r="D19" s="2">
        <f t="shared" si="2"/>
        <v>-0.43339075084233064</v>
      </c>
      <c r="E19" s="2">
        <f t="shared" si="0"/>
        <v>-0.43339075084233064</v>
      </c>
      <c r="F19" s="28">
        <f t="shared" si="3"/>
        <v>8.8623967363690132E-2</v>
      </c>
      <c r="G19" s="28"/>
    </row>
    <row r="20" spans="2:7">
      <c r="B20" s="2">
        <f t="shared" si="4"/>
        <v>4.0212396853631273E-4</v>
      </c>
      <c r="C20" s="2">
        <f t="shared" si="1"/>
        <v>-0.77051324277578936</v>
      </c>
      <c r="D20" s="2">
        <f t="shared" si="2"/>
        <v>-0.70396851195230237</v>
      </c>
      <c r="E20" s="2">
        <f t="shared" si="0"/>
        <v>-0.70396851195230237</v>
      </c>
      <c r="F20" s="28">
        <f t="shared" si="3"/>
        <v>-0.54483506520253655</v>
      </c>
      <c r="G20" s="28"/>
    </row>
    <row r="21" spans="2:7">
      <c r="B21" s="2">
        <f t="shared" si="4"/>
        <v>5.0265496067039095E-4</v>
      </c>
      <c r="C21" s="2">
        <f t="shared" si="1"/>
        <v>-0.95105651629515364</v>
      </c>
      <c r="D21" s="2">
        <f t="shared" si="2"/>
        <v>-0.32101963220874052</v>
      </c>
      <c r="E21" s="2">
        <f t="shared" si="0"/>
        <v>-0.32101963220874052</v>
      </c>
      <c r="F21" s="28">
        <f t="shared" si="3"/>
        <v>-0.67249842092298551</v>
      </c>
      <c r="G21" s="28"/>
    </row>
    <row r="22" spans="2:7">
      <c r="B22" s="2">
        <f t="shared" si="4"/>
        <v>6.0318595280446912E-4</v>
      </c>
      <c r="C22" s="2">
        <f t="shared" si="1"/>
        <v>-0.24868988716485535</v>
      </c>
      <c r="D22" s="2">
        <f t="shared" si="2"/>
        <v>0.35994667064881064</v>
      </c>
      <c r="E22" s="2">
        <f t="shared" si="0"/>
        <v>0.35994667064881064</v>
      </c>
      <c r="F22" s="28">
        <f t="shared" si="3"/>
        <v>-0.17585028182066292</v>
      </c>
      <c r="G22" s="28"/>
    </row>
    <row r="23" spans="2:7">
      <c r="B23" s="2">
        <f t="shared" si="4"/>
        <v>7.0371694493854729E-4</v>
      </c>
      <c r="C23" s="2">
        <f t="shared" si="1"/>
        <v>0.68454710592868795</v>
      </c>
      <c r="D23" s="2">
        <f t="shared" si="2"/>
        <v>0.70675777400296613</v>
      </c>
      <c r="E23" s="2">
        <f t="shared" si="0"/>
        <v>0.70675777400296613</v>
      </c>
      <c r="F23" s="28">
        <f t="shared" si="3"/>
        <v>0.48404783511474719</v>
      </c>
      <c r="G23" s="28"/>
    </row>
    <row r="24" spans="2:7">
      <c r="B24" s="2">
        <f t="shared" si="4"/>
        <v>8.0424793707262545E-4</v>
      </c>
      <c r="C24" s="2">
        <f t="shared" si="1"/>
        <v>0.98228725072868861</v>
      </c>
      <c r="D24" s="2">
        <f t="shared" si="2"/>
        <v>0.39745283509218854</v>
      </c>
      <c r="E24" s="2">
        <f t="shared" si="0"/>
        <v>0.39745283509218854</v>
      </c>
      <c r="F24" s="28">
        <f t="shared" si="3"/>
        <v>0.6945818820327766</v>
      </c>
      <c r="G24" s="28"/>
    </row>
    <row r="25" spans="2:7">
      <c r="B25" s="2">
        <f t="shared" si="4"/>
        <v>9.0477892920670362E-4</v>
      </c>
      <c r="C25" s="2">
        <f t="shared" si="1"/>
        <v>0.36812455268467797</v>
      </c>
      <c r="D25" s="2">
        <f t="shared" si="2"/>
        <v>-0.28082601643743971</v>
      </c>
      <c r="E25" s="2">
        <f t="shared" si="0"/>
        <v>-0.28082601643743971</v>
      </c>
      <c r="F25" s="28">
        <f t="shared" si="3"/>
        <v>0.26030333228545677</v>
      </c>
      <c r="G25" s="28"/>
    </row>
    <row r="26" spans="2:7">
      <c r="B26" s="2">
        <f t="shared" si="4"/>
        <v>1.0053099213407819E-3</v>
      </c>
      <c r="C26" s="2">
        <f t="shared" si="1"/>
        <v>-0.5877852522924728</v>
      </c>
      <c r="D26" s="2">
        <f t="shared" si="2"/>
        <v>-0.69840104376097367</v>
      </c>
      <c r="E26" s="2">
        <f t="shared" si="0"/>
        <v>-0.69840104376097367</v>
      </c>
      <c r="F26" s="28">
        <f t="shared" si="3"/>
        <v>-0.41562688151103827</v>
      </c>
      <c r="G26" s="28"/>
    </row>
    <row r="27" spans="2:7">
      <c r="B27" s="2">
        <f t="shared" si="4"/>
        <v>1.1058409134748601E-3</v>
      </c>
      <c r="C27" s="2">
        <f t="shared" si="1"/>
        <v>-0.99802672842827156</v>
      </c>
      <c r="D27" s="2">
        <f t="shared" si="2"/>
        <v>-0.46761796933941646</v>
      </c>
      <c r="E27" s="2">
        <f t="shared" si="0"/>
        <v>-0.46761796933941646</v>
      </c>
      <c r="F27" s="28">
        <f t="shared" si="3"/>
        <v>-0.7057113719398066</v>
      </c>
      <c r="G27" s="28"/>
    </row>
    <row r="28" spans="2:7">
      <c r="B28" s="2">
        <f t="shared" si="4"/>
        <v>1.2063719056089382E-3</v>
      </c>
      <c r="C28" s="2">
        <f t="shared" si="1"/>
        <v>-0.48175367410171632</v>
      </c>
      <c r="D28" s="2">
        <f t="shared" si="2"/>
        <v>0.1972765681895208</v>
      </c>
      <c r="E28" s="2">
        <f t="shared" si="0"/>
        <v>0.1972765681895208</v>
      </c>
      <c r="F28" s="28">
        <f t="shared" si="3"/>
        <v>-0.34065124370243671</v>
      </c>
      <c r="G28" s="28"/>
    </row>
    <row r="29" spans="2:7">
      <c r="B29" s="2">
        <f t="shared" si="4"/>
        <v>1.3069028977430164E-3</v>
      </c>
      <c r="C29" s="2">
        <f t="shared" si="1"/>
        <v>0.48175367410171543</v>
      </c>
      <c r="D29" s="2">
        <f t="shared" si="2"/>
        <v>0.6790301118543095</v>
      </c>
      <c r="E29" s="2">
        <f t="shared" si="0"/>
        <v>0.6790301118543095</v>
      </c>
      <c r="F29" s="28">
        <f t="shared" si="3"/>
        <v>0.34065124370243605</v>
      </c>
      <c r="G29" s="28"/>
    </row>
    <row r="30" spans="2:7">
      <c r="B30" s="2">
        <f t="shared" si="4"/>
        <v>1.4074338898770946E-3</v>
      </c>
      <c r="C30" s="2">
        <f t="shared" si="1"/>
        <v>0.99802672842827145</v>
      </c>
      <c r="D30" s="2">
        <f t="shared" si="2"/>
        <v>0.53040848886872816</v>
      </c>
      <c r="E30" s="2">
        <f t="shared" si="0"/>
        <v>0.53040848886872816</v>
      </c>
      <c r="F30" s="28">
        <f t="shared" si="3"/>
        <v>0.7057113719398066</v>
      </c>
      <c r="G30" s="28"/>
    </row>
    <row r="31" spans="2:7">
      <c r="B31" s="2">
        <f t="shared" si="4"/>
        <v>1.5079648820111727E-3</v>
      </c>
      <c r="C31" s="2">
        <f t="shared" si="1"/>
        <v>0.58778525229247358</v>
      </c>
      <c r="D31" s="2">
        <f t="shared" si="2"/>
        <v>-0.11061595061394236</v>
      </c>
      <c r="E31" s="2">
        <f t="shared" si="0"/>
        <v>-0.11061595061394236</v>
      </c>
      <c r="F31" s="28">
        <f t="shared" si="3"/>
        <v>0.41562688151103883</v>
      </c>
      <c r="G31" s="28"/>
    </row>
    <row r="32" spans="2:7">
      <c r="B32" s="2">
        <f t="shared" si="4"/>
        <v>1.6084958741452509E-3</v>
      </c>
      <c r="C32" s="2">
        <f t="shared" si="1"/>
        <v>-0.3681245526846787</v>
      </c>
      <c r="D32" s="2">
        <f t="shared" si="2"/>
        <v>-0.64895046945077561</v>
      </c>
      <c r="E32" s="2">
        <f t="shared" si="0"/>
        <v>-0.64895046945077561</v>
      </c>
      <c r="F32" s="28">
        <f t="shared" si="3"/>
        <v>-0.26030333228545732</v>
      </c>
      <c r="G32" s="28"/>
    </row>
    <row r="33" spans="2:15">
      <c r="B33" s="2">
        <f t="shared" si="4"/>
        <v>1.7090268662793291E-3</v>
      </c>
      <c r="C33" s="2">
        <f t="shared" si="1"/>
        <v>-0.98228725072868839</v>
      </c>
      <c r="D33" s="2">
        <f t="shared" si="2"/>
        <v>-0.58483414967790603</v>
      </c>
      <c r="E33" s="2">
        <f t="shared" si="0"/>
        <v>-0.58483414967790603</v>
      </c>
      <c r="F33" s="28">
        <f t="shared" si="3"/>
        <v>-0.69458188203277638</v>
      </c>
      <c r="G33" s="28"/>
    </row>
    <row r="34" spans="2:15">
      <c r="B34" s="2">
        <f t="shared" si="4"/>
        <v>1.8095578584134072E-3</v>
      </c>
      <c r="C34" s="2">
        <f t="shared" si="1"/>
        <v>-0.68454710592868862</v>
      </c>
      <c r="D34" s="2">
        <f t="shared" si="2"/>
        <v>2.2210853418416082E-2</v>
      </c>
      <c r="E34" s="2">
        <f t="shared" si="0"/>
        <v>2.2210853418416082E-2</v>
      </c>
      <c r="F34" s="28">
        <f t="shared" si="3"/>
        <v>-0.48404783511474764</v>
      </c>
      <c r="G34" s="28"/>
    </row>
    <row r="35" spans="2:15">
      <c r="B35" s="2">
        <f t="shared" si="4"/>
        <v>1.9100888505474854E-3</v>
      </c>
      <c r="C35" s="2">
        <f t="shared" si="1"/>
        <v>0.24868988716485269</v>
      </c>
      <c r="D35" s="2">
        <f t="shared" si="2"/>
        <v>0.60863649047978374</v>
      </c>
      <c r="E35" s="2">
        <f t="shared" si="0"/>
        <v>0.60863649047978374</v>
      </c>
      <c r="F35" s="28">
        <f t="shared" si="3"/>
        <v>0.17585028182066104</v>
      </c>
      <c r="G35" s="28"/>
      <c r="H35" s="6" t="s">
        <v>65</v>
      </c>
    </row>
    <row r="36" spans="2:15">
      <c r="B36" s="2">
        <f t="shared" si="4"/>
        <v>2.0106198426815638E-3</v>
      </c>
      <c r="C36" s="2">
        <f t="shared" si="1"/>
        <v>0.95105651629515331</v>
      </c>
      <c r="D36" s="2">
        <f t="shared" si="2"/>
        <v>0.63003662658367676</v>
      </c>
      <c r="E36" s="2">
        <f t="shared" si="0"/>
        <v>0.63003662658367676</v>
      </c>
      <c r="F36" s="28">
        <f t="shared" si="3"/>
        <v>0.67249842092298528</v>
      </c>
      <c r="G36" s="28"/>
      <c r="H36" s="12" t="s">
        <v>64</v>
      </c>
      <c r="I36" s="12">
        <f>I3</f>
        <v>5</v>
      </c>
      <c r="J36" s="12" t="s">
        <v>17</v>
      </c>
      <c r="K36" s="13" t="str">
        <f>TRIM(H36)&amp;"   "&amp;IF(I36&gt;0,"+","")&amp;TRIM(I36)&amp;" "&amp;TRIM(J36)</f>
        <v>V+:   +5 V</v>
      </c>
    </row>
    <row r="37" spans="2:15">
      <c r="B37" s="2">
        <f t="shared" si="4"/>
        <v>2.111150834815642E-3</v>
      </c>
      <c r="C37" s="2">
        <f t="shared" si="1"/>
        <v>0.77051324277578881</v>
      </c>
      <c r="D37" s="2">
        <f t="shared" si="2"/>
        <v>6.6544522203638087E-2</v>
      </c>
      <c r="E37" s="2">
        <f t="shared" si="0"/>
        <v>6.6544522203638087E-2</v>
      </c>
      <c r="F37" s="28">
        <f t="shared" si="3"/>
        <v>0.54483506520253622</v>
      </c>
      <c r="G37" s="28"/>
      <c r="H37" s="12" t="s">
        <v>66</v>
      </c>
      <c r="I37" s="12">
        <f>I4</f>
        <v>-5</v>
      </c>
      <c r="J37" s="12" t="s">
        <v>17</v>
      </c>
      <c r="K37" s="13" t="str">
        <f t="shared" ref="K37:K38" si="5">TRIM(H37)&amp;"   "&amp;IF(I37&gt;0,"+","")&amp;TRIM(I37)&amp;" "&amp;TRIM(J37)</f>
        <v>V-:   -5 V</v>
      </c>
    </row>
    <row r="38" spans="2:15">
      <c r="B38" s="2">
        <f t="shared" si="4"/>
        <v>2.2116818269497201E-3</v>
      </c>
      <c r="C38" s="2">
        <f t="shared" si="1"/>
        <v>-0.12533323356430268</v>
      </c>
      <c r="D38" s="2">
        <f t="shared" si="2"/>
        <v>-0.55872395047210988</v>
      </c>
      <c r="E38" s="2">
        <f t="shared" si="0"/>
        <v>-0.55872395047210988</v>
      </c>
      <c r="F38" s="28">
        <f t="shared" si="3"/>
        <v>-8.8623967363688813E-2</v>
      </c>
      <c r="G38" s="28"/>
      <c r="H38" s="12" t="s">
        <v>29</v>
      </c>
      <c r="I38" s="12">
        <f>I8</f>
        <v>1</v>
      </c>
      <c r="J38" s="12" t="s">
        <v>17</v>
      </c>
      <c r="K38" s="13" t="str">
        <f t="shared" si="5"/>
        <v>Vin:   +1 V</v>
      </c>
    </row>
    <row r="39" spans="2:15">
      <c r="B39" s="2">
        <f t="shared" si="4"/>
        <v>2.3122128190837983E-3</v>
      </c>
      <c r="C39" s="2">
        <f t="shared" si="1"/>
        <v>-0.90482705246601947</v>
      </c>
      <c r="D39" s="2">
        <f t="shared" si="2"/>
        <v>-0.66530304952258534</v>
      </c>
      <c r="E39" s="2">
        <f t="shared" si="0"/>
        <v>-0.66530304952258534</v>
      </c>
      <c r="F39" s="28">
        <f t="shared" si="3"/>
        <v>-0.63980925798415478</v>
      </c>
      <c r="G39" s="28"/>
      <c r="H39" s="12" t="s">
        <v>67</v>
      </c>
      <c r="I39" s="12">
        <f>C3</f>
        <v>1</v>
      </c>
      <c r="J39" s="12" t="s">
        <v>16</v>
      </c>
      <c r="K39" s="13" t="str">
        <f>TRIM(H39)&amp;"   "&amp;TRIM(I39)&amp;" "&amp;TRIM(J39)</f>
        <v>R1:   1 K</v>
      </c>
    </row>
    <row r="40" spans="2:15">
      <c r="B40" s="2">
        <f t="shared" si="4"/>
        <v>2.4127438112178765E-3</v>
      </c>
      <c r="C40" s="2">
        <f t="shared" si="1"/>
        <v>-0.8443279255020163</v>
      </c>
      <c r="D40" s="2">
        <f t="shared" si="2"/>
        <v>-0.15425045095877016</v>
      </c>
      <c r="E40" s="2">
        <f t="shared" si="0"/>
        <v>-0.15425045095877016</v>
      </c>
      <c r="F40" s="28">
        <f t="shared" si="3"/>
        <v>-0.59702992084339035</v>
      </c>
      <c r="G40" s="28"/>
      <c r="H40" s="12" t="s">
        <v>100</v>
      </c>
      <c r="I40" s="12">
        <f>C4</f>
        <v>0.1</v>
      </c>
      <c r="J40" s="12" t="s">
        <v>83</v>
      </c>
      <c r="K40" s="13" t="str">
        <f>TRIM(H40)&amp;"   "&amp;TRIM(I40)&amp;" "&amp;TRIM(J40)</f>
        <v>C1:   0.1 uF</v>
      </c>
    </row>
    <row r="41" spans="2:15">
      <c r="B41" s="2">
        <f t="shared" si="4"/>
        <v>2.5132748033519546E-3</v>
      </c>
      <c r="C41" s="2">
        <f t="shared" si="1"/>
        <v>-9.8011876392689601E-16</v>
      </c>
      <c r="D41" s="2">
        <f t="shared" si="2"/>
        <v>0.49999999999998118</v>
      </c>
      <c r="E41" s="2">
        <f t="shared" si="0"/>
        <v>0.49999999999998118</v>
      </c>
      <c r="F41" s="28">
        <f t="shared" si="3"/>
        <v>-6.9304853051789641E-16</v>
      </c>
      <c r="G41" s="28"/>
      <c r="H41" s="12" t="s">
        <v>101</v>
      </c>
      <c r="I41" s="12">
        <f>ROUND(C9,0)</f>
        <v>1592</v>
      </c>
      <c r="J41" s="12" t="s">
        <v>80</v>
      </c>
      <c r="K41" s="13" t="str">
        <f>TRIM(H41)&amp;"   "&amp;TRIM(I41)&amp;" "&amp;TRIM(J41)</f>
        <v>f,signal:   1592 Hz</v>
      </c>
    </row>
    <row r="43" spans="2:15">
      <c r="B43" s="6" t="s">
        <v>92</v>
      </c>
      <c r="O43" s="2" t="s">
        <v>292</v>
      </c>
    </row>
    <row r="44" spans="2:15" ht="15.75">
      <c r="B44" s="14"/>
      <c r="C44" s="2" t="s">
        <v>95</v>
      </c>
      <c r="O44" s="2" t="s">
        <v>294</v>
      </c>
    </row>
    <row r="45" spans="2:15">
      <c r="B45" s="7" t="s">
        <v>93</v>
      </c>
      <c r="C45" s="7" t="s">
        <v>94</v>
      </c>
      <c r="D45" s="7" t="s">
        <v>97</v>
      </c>
      <c r="E45" s="7" t="s">
        <v>220</v>
      </c>
    </row>
    <row r="46" spans="2:15">
      <c r="B46" s="2">
        <v>1</v>
      </c>
      <c r="C46" s="2">
        <f>20*LOG((B46/$C$11)/SQRT(1+(B46/$C$11)^2))</f>
        <v>-64.036404347363259</v>
      </c>
      <c r="D46" s="2">
        <f t="shared" ref="D46:D77" si="6">1/(2*PI()*B46*$C$4*0.000001)</f>
        <v>1591549.4309189534</v>
      </c>
      <c r="E46" s="2">
        <f>20*LOG((B46/$C$11)/SQRT(1+(B46/$C$11)^2))</f>
        <v>-64.036404347363259</v>
      </c>
    </row>
    <row r="47" spans="2:15">
      <c r="B47" s="2">
        <v>2</v>
      </c>
      <c r="C47" s="2">
        <f t="shared" ref="C47:C100" si="7">20*LOG((B47/$C$11)/SQRT(1+(B47/$C$11)^2))</f>
        <v>-58.015809577656228</v>
      </c>
      <c r="D47" s="2">
        <f t="shared" si="6"/>
        <v>795774.71545947669</v>
      </c>
      <c r="E47" s="2">
        <f t="shared" ref="E47:E100" si="8">20*LOG((B47/$C$11)/SQRT(1+(B47/$C$11)^2))</f>
        <v>-58.015809577656228</v>
      </c>
    </row>
    <row r="48" spans="2:15">
      <c r="B48" s="2">
        <v>3</v>
      </c>
      <c r="C48" s="2">
        <f t="shared" si="7"/>
        <v>-54.493992969150071</v>
      </c>
      <c r="D48" s="2">
        <f t="shared" si="6"/>
        <v>530516.4769729845</v>
      </c>
      <c r="E48" s="2">
        <f t="shared" si="8"/>
        <v>-54.493992969150071</v>
      </c>
    </row>
    <row r="49" spans="2:5">
      <c r="B49" s="2">
        <v>4</v>
      </c>
      <c r="C49" s="2">
        <f t="shared" si="7"/>
        <v>-51.995230238606084</v>
      </c>
      <c r="D49" s="2">
        <f t="shared" si="6"/>
        <v>397887.35772973835</v>
      </c>
      <c r="E49" s="2">
        <f t="shared" si="8"/>
        <v>-51.995230238606084</v>
      </c>
    </row>
    <row r="50" spans="2:5">
      <c r="B50" s="2">
        <v>5</v>
      </c>
      <c r="C50" s="2">
        <f t="shared" si="7"/>
        <v>-50.057045409053103</v>
      </c>
      <c r="D50" s="2">
        <f t="shared" si="6"/>
        <v>318309.88618379069</v>
      </c>
      <c r="E50" s="2">
        <f t="shared" si="8"/>
        <v>-50.057045409053103</v>
      </c>
    </row>
    <row r="51" spans="2:5">
      <c r="B51" s="2">
        <v>6</v>
      </c>
      <c r="C51" s="2">
        <f t="shared" si="7"/>
        <v>-48.473439347658328</v>
      </c>
      <c r="D51" s="2">
        <f t="shared" si="6"/>
        <v>265258.23848649225</v>
      </c>
      <c r="E51" s="2">
        <f t="shared" si="8"/>
        <v>-48.473439347658328</v>
      </c>
    </row>
    <row r="52" spans="2:5">
      <c r="B52" s="2">
        <v>7</v>
      </c>
      <c r="C52" s="2">
        <f t="shared" si="7"/>
        <v>-47.134525843508698</v>
      </c>
      <c r="D52" s="2">
        <f t="shared" si="6"/>
        <v>227364.20441699337</v>
      </c>
      <c r="E52" s="2">
        <f t="shared" si="8"/>
        <v>-47.134525843508698</v>
      </c>
    </row>
    <row r="53" spans="2:5">
      <c r="B53" s="2">
        <v>8</v>
      </c>
      <c r="C53" s="2">
        <f t="shared" si="7"/>
        <v>-45.974712621269717</v>
      </c>
      <c r="D53" s="2">
        <f t="shared" si="6"/>
        <v>198943.67886486917</v>
      </c>
      <c r="E53" s="2">
        <f t="shared" si="8"/>
        <v>-45.974712621269717</v>
      </c>
    </row>
    <row r="54" spans="2:5">
      <c r="B54" s="2">
        <v>9</v>
      </c>
      <c r="C54" s="2">
        <f t="shared" si="7"/>
        <v>-44.95169131842804</v>
      </c>
      <c r="D54" s="2">
        <f t="shared" si="6"/>
        <v>176838.82565766151</v>
      </c>
      <c r="E54" s="2">
        <f t="shared" si="8"/>
        <v>-44.95169131842804</v>
      </c>
    </row>
    <row r="55" spans="2:5">
      <c r="B55" s="2">
        <v>10</v>
      </c>
      <c r="C55" s="2">
        <f t="shared" si="7"/>
        <v>-44.036574082042648</v>
      </c>
      <c r="D55" s="2">
        <f t="shared" si="6"/>
        <v>159154.94309189534</v>
      </c>
      <c r="E55" s="2">
        <f t="shared" si="8"/>
        <v>-44.036574082042648</v>
      </c>
    </row>
    <row r="56" spans="2:5">
      <c r="B56" s="2">
        <v>20</v>
      </c>
      <c r="C56" s="2">
        <f t="shared" si="7"/>
        <v>-38.016488475771155</v>
      </c>
      <c r="D56" s="2">
        <f t="shared" si="6"/>
        <v>79577.471545947672</v>
      </c>
      <c r="E56" s="2">
        <f t="shared" si="8"/>
        <v>-38.016488475771155</v>
      </c>
    </row>
    <row r="57" spans="2:5">
      <c r="B57" s="2">
        <v>30</v>
      </c>
      <c r="C57" s="2">
        <f t="shared" si="7"/>
        <v>-34.495520337680738</v>
      </c>
      <c r="D57" s="2">
        <f t="shared" si="6"/>
        <v>53051.647697298446</v>
      </c>
      <c r="E57" s="2">
        <f t="shared" si="8"/>
        <v>-34.495520337680738</v>
      </c>
    </row>
    <row r="58" spans="2:5">
      <c r="B58" s="2">
        <v>40</v>
      </c>
      <c r="C58" s="2">
        <f t="shared" si="7"/>
        <v>-31.997945181679654</v>
      </c>
      <c r="D58" s="2">
        <f t="shared" si="6"/>
        <v>39788.735772973836</v>
      </c>
      <c r="E58" s="2">
        <f t="shared" si="8"/>
        <v>-31.997945181679654</v>
      </c>
    </row>
    <row r="59" spans="2:5">
      <c r="B59" s="2">
        <v>50</v>
      </c>
      <c r="C59" s="2">
        <f t="shared" si="7"/>
        <v>-30.061286747026475</v>
      </c>
      <c r="D59" s="2">
        <f t="shared" si="6"/>
        <v>31830.988618379066</v>
      </c>
      <c r="E59" s="2">
        <f t="shared" si="8"/>
        <v>-30.061286747026475</v>
      </c>
    </row>
    <row r="60" spans="2:5">
      <c r="B60" s="2">
        <v>60</v>
      </c>
      <c r="C60" s="2">
        <f t="shared" si="7"/>
        <v>-28.479545536424663</v>
      </c>
      <c r="D60" s="2">
        <f t="shared" si="6"/>
        <v>26525.823848649223</v>
      </c>
      <c r="E60" s="2">
        <f t="shared" si="8"/>
        <v>-28.479545536424663</v>
      </c>
    </row>
    <row r="61" spans="2:5">
      <c r="B61" s="2">
        <v>70</v>
      </c>
      <c r="C61" s="2">
        <f t="shared" si="7"/>
        <v>-27.142834894090729</v>
      </c>
      <c r="D61" s="2">
        <f t="shared" si="6"/>
        <v>22736.420441699334</v>
      </c>
      <c r="E61" s="2">
        <f t="shared" si="8"/>
        <v>-27.142834894090729</v>
      </c>
    </row>
    <row r="62" spans="2:5">
      <c r="B62" s="2">
        <v>80</v>
      </c>
      <c r="C62" s="2">
        <f t="shared" si="7"/>
        <v>-25.985562019762796</v>
      </c>
      <c r="D62" s="2">
        <f t="shared" si="6"/>
        <v>19894.367886486918</v>
      </c>
      <c r="E62" s="2">
        <f t="shared" si="8"/>
        <v>-25.985562019762796</v>
      </c>
    </row>
    <row r="63" spans="2:5">
      <c r="B63" s="2">
        <v>90</v>
      </c>
      <c r="C63" s="2">
        <f t="shared" si="7"/>
        <v>-24.965417946355046</v>
      </c>
      <c r="D63" s="2">
        <f t="shared" si="6"/>
        <v>17683.882565766147</v>
      </c>
      <c r="E63" s="2">
        <f t="shared" si="8"/>
        <v>-24.965417946355046</v>
      </c>
    </row>
    <row r="64" spans="2:5">
      <c r="B64" s="2">
        <v>100</v>
      </c>
      <c r="C64" s="2">
        <f t="shared" si="7"/>
        <v>-24.053514137182283</v>
      </c>
      <c r="D64" s="2">
        <f t="shared" si="6"/>
        <v>15915.494309189533</v>
      </c>
      <c r="E64" s="2">
        <f t="shared" si="8"/>
        <v>-24.053514137182283</v>
      </c>
    </row>
    <row r="65" spans="2:5">
      <c r="B65" s="2">
        <v>200</v>
      </c>
      <c r="C65" s="2">
        <f t="shared" si="7"/>
        <v>-18.083847895032541</v>
      </c>
      <c r="D65" s="2">
        <f t="shared" si="6"/>
        <v>7957.7471545947665</v>
      </c>
      <c r="E65" s="2">
        <f t="shared" si="8"/>
        <v>-18.083847895032541</v>
      </c>
    </row>
    <row r="66" spans="2:5">
      <c r="B66" s="2">
        <v>300</v>
      </c>
      <c r="C66" s="2">
        <f t="shared" si="7"/>
        <v>-14.645606805642606</v>
      </c>
      <c r="D66" s="2">
        <f t="shared" si="6"/>
        <v>5305.1647697298449</v>
      </c>
      <c r="E66" s="2">
        <f t="shared" si="8"/>
        <v>-14.645606805642606</v>
      </c>
    </row>
    <row r="67" spans="2:5">
      <c r="B67" s="2">
        <v>400</v>
      </c>
      <c r="C67" s="2">
        <f t="shared" si="7"/>
        <v>-12.261211428175207</v>
      </c>
      <c r="D67" s="2">
        <f t="shared" si="6"/>
        <v>3978.8735772973832</v>
      </c>
      <c r="E67" s="2">
        <f t="shared" si="8"/>
        <v>-12.261211428175207</v>
      </c>
    </row>
    <row r="68" spans="2:5">
      <c r="B68" s="2">
        <v>500</v>
      </c>
      <c r="C68" s="2">
        <f t="shared" si="7"/>
        <v>-10.465778154000846</v>
      </c>
      <c r="D68" s="2">
        <f t="shared" si="6"/>
        <v>3183.098861837907</v>
      </c>
      <c r="E68" s="2">
        <f t="shared" si="8"/>
        <v>-10.465778154000846</v>
      </c>
    </row>
    <row r="69" spans="2:5">
      <c r="B69" s="2">
        <v>600</v>
      </c>
      <c r="C69" s="2">
        <f t="shared" si="7"/>
        <v>-9.0505037504027825</v>
      </c>
      <c r="D69" s="2">
        <f t="shared" si="6"/>
        <v>2652.5823848649225</v>
      </c>
      <c r="E69" s="2">
        <f t="shared" si="8"/>
        <v>-9.0505037504027825</v>
      </c>
    </row>
    <row r="70" spans="2:5">
      <c r="B70" s="2">
        <v>700</v>
      </c>
      <c r="C70" s="2">
        <f t="shared" si="7"/>
        <v>-7.902463182807951</v>
      </c>
      <c r="D70" s="2">
        <f t="shared" si="6"/>
        <v>2273.6420441699333</v>
      </c>
      <c r="E70" s="2">
        <f t="shared" si="8"/>
        <v>-7.902463182807951</v>
      </c>
    </row>
    <row r="71" spans="2:5">
      <c r="B71" s="2">
        <v>800</v>
      </c>
      <c r="C71" s="2">
        <f t="shared" si="7"/>
        <v>-6.9529414828150209</v>
      </c>
      <c r="D71" s="2">
        <f t="shared" si="6"/>
        <v>1989.4367886486916</v>
      </c>
      <c r="E71" s="2">
        <f t="shared" si="8"/>
        <v>-6.9529414828150209</v>
      </c>
    </row>
    <row r="72" spans="2:5">
      <c r="B72" s="2">
        <v>900</v>
      </c>
      <c r="C72" s="2">
        <f t="shared" si="7"/>
        <v>-6.1565520191868082</v>
      </c>
      <c r="D72" s="2">
        <f t="shared" si="6"/>
        <v>1768.388256576615</v>
      </c>
      <c r="E72" s="2">
        <f t="shared" si="8"/>
        <v>-6.1565520191868082</v>
      </c>
    </row>
    <row r="73" spans="2:5">
      <c r="B73" s="2">
        <v>1000</v>
      </c>
      <c r="C73" s="2">
        <f t="shared" si="7"/>
        <v>-5.4814727490429869</v>
      </c>
      <c r="D73" s="2">
        <f t="shared" si="6"/>
        <v>1591.5494309189535</v>
      </c>
      <c r="E73" s="2">
        <f t="shared" si="8"/>
        <v>-5.4814727490429869</v>
      </c>
    </row>
    <row r="74" spans="2:5">
      <c r="B74" s="2">
        <v>2000</v>
      </c>
      <c r="C74" s="2">
        <f t="shared" si="7"/>
        <v>-2.1305463398327849</v>
      </c>
      <c r="D74" s="2">
        <f t="shared" si="6"/>
        <v>795.77471545947674</v>
      </c>
      <c r="E74" s="2">
        <f t="shared" si="8"/>
        <v>-2.1305463398327849</v>
      </c>
    </row>
    <row r="75" spans="2:5">
      <c r="B75" s="2">
        <v>3000</v>
      </c>
      <c r="C75" s="2">
        <f t="shared" si="7"/>
        <v>-1.0770089688832909</v>
      </c>
      <c r="D75" s="2">
        <f t="shared" si="6"/>
        <v>530.51647697298449</v>
      </c>
      <c r="E75" s="2">
        <f t="shared" si="8"/>
        <v>-1.0770089688832909</v>
      </c>
    </row>
    <row r="76" spans="2:5">
      <c r="B76" s="2">
        <v>4000</v>
      </c>
      <c r="C76" s="2">
        <f t="shared" si="7"/>
        <v>-0.63826436508185269</v>
      </c>
      <c r="D76" s="2">
        <f t="shared" si="6"/>
        <v>397.88735772973837</v>
      </c>
      <c r="E76" s="2">
        <f t="shared" si="8"/>
        <v>-0.63826436508185269</v>
      </c>
    </row>
    <row r="77" spans="2:5">
      <c r="B77" s="2">
        <v>5000</v>
      </c>
      <c r="C77" s="2">
        <f t="shared" si="7"/>
        <v>-0.41913992851628978</v>
      </c>
      <c r="D77" s="2">
        <f t="shared" si="6"/>
        <v>318.30988618379064</v>
      </c>
      <c r="E77" s="2">
        <f t="shared" si="8"/>
        <v>-0.41913992851628978</v>
      </c>
    </row>
    <row r="78" spans="2:5">
      <c r="B78" s="2">
        <v>6000</v>
      </c>
      <c r="C78" s="2">
        <f t="shared" si="7"/>
        <v>-0.29530655220904345</v>
      </c>
      <c r="D78" s="2">
        <f t="shared" ref="D78:D100" si="9">1/(2*PI()*B78*$C$4*0.000001)</f>
        <v>265.25823848649225</v>
      </c>
      <c r="E78" s="2">
        <f t="shared" si="8"/>
        <v>-0.29530655220904345</v>
      </c>
    </row>
    <row r="79" spans="2:5">
      <c r="B79" s="2">
        <v>7000</v>
      </c>
      <c r="C79" s="2">
        <f t="shared" si="7"/>
        <v>-0.21889595054388702</v>
      </c>
      <c r="D79" s="2">
        <f t="shared" si="9"/>
        <v>227.36420441699337</v>
      </c>
      <c r="E79" s="2">
        <f t="shared" si="8"/>
        <v>-0.21889595054388702</v>
      </c>
    </row>
    <row r="80" spans="2:5">
      <c r="B80" s="2">
        <v>8000</v>
      </c>
      <c r="C80" s="2">
        <f t="shared" si="7"/>
        <v>-0.16857325574029966</v>
      </c>
      <c r="D80" s="2">
        <f t="shared" si="9"/>
        <v>198.94367886486918</v>
      </c>
      <c r="E80" s="2">
        <f t="shared" si="8"/>
        <v>-0.16857325574029966</v>
      </c>
    </row>
    <row r="81" spans="2:5">
      <c r="B81" s="2">
        <v>9000</v>
      </c>
      <c r="C81" s="2">
        <f t="shared" si="7"/>
        <v>-0.13373213883836513</v>
      </c>
      <c r="D81" s="2">
        <f t="shared" si="9"/>
        <v>176.83882565766146</v>
      </c>
      <c r="E81" s="2">
        <f t="shared" si="8"/>
        <v>-0.13373213883836513</v>
      </c>
    </row>
    <row r="82" spans="2:5">
      <c r="B82" s="2">
        <v>10000</v>
      </c>
      <c r="C82" s="2">
        <f t="shared" si="7"/>
        <v>-0.1086378986432171</v>
      </c>
      <c r="D82" s="2">
        <f t="shared" si="9"/>
        <v>159.15494309189532</v>
      </c>
      <c r="E82" s="2">
        <f t="shared" si="8"/>
        <v>-0.1086378986432171</v>
      </c>
    </row>
    <row r="83" spans="2:5">
      <c r="B83" s="2">
        <v>20000</v>
      </c>
      <c r="C83" s="2">
        <f t="shared" si="7"/>
        <v>-2.7415305948140126E-2</v>
      </c>
      <c r="D83" s="2">
        <f t="shared" si="9"/>
        <v>79.57747154594766</v>
      </c>
      <c r="E83" s="2">
        <f t="shared" si="8"/>
        <v>-2.7415305948140126E-2</v>
      </c>
    </row>
    <row r="84" spans="2:5">
      <c r="B84" s="2">
        <v>30000</v>
      </c>
      <c r="C84" s="2">
        <f t="shared" si="7"/>
        <v>-1.2205951069602282E-2</v>
      </c>
      <c r="D84" s="2">
        <f t="shared" si="9"/>
        <v>53.051647697298449</v>
      </c>
      <c r="E84" s="2">
        <f t="shared" si="8"/>
        <v>-1.2205951069602282E-2</v>
      </c>
    </row>
    <row r="85" spans="2:5">
      <c r="B85" s="2">
        <v>40000</v>
      </c>
      <c r="C85" s="2">
        <f t="shared" si="7"/>
        <v>-6.8700681187759752E-3</v>
      </c>
      <c r="D85" s="2">
        <f t="shared" si="9"/>
        <v>39.78873577297383</v>
      </c>
      <c r="E85" s="2">
        <f t="shared" si="8"/>
        <v>-6.8700681187759752E-3</v>
      </c>
    </row>
    <row r="86" spans="2:5">
      <c r="B86" s="2">
        <v>50000</v>
      </c>
      <c r="C86" s="2">
        <f t="shared" si="7"/>
        <v>-4.3980953704993043E-3</v>
      </c>
      <c r="D86" s="2">
        <f t="shared" si="9"/>
        <v>31.830988618379067</v>
      </c>
      <c r="E86" s="2">
        <f t="shared" si="8"/>
        <v>-4.3980953704993043E-3</v>
      </c>
    </row>
    <row r="87" spans="2:5">
      <c r="B87" s="2">
        <v>60000</v>
      </c>
      <c r="C87" s="2">
        <f t="shared" si="7"/>
        <v>-3.0547053785892125E-3</v>
      </c>
      <c r="D87" s="2">
        <f t="shared" si="9"/>
        <v>26.525823848649225</v>
      </c>
      <c r="E87" s="2">
        <f t="shared" si="8"/>
        <v>-3.0547053785892125E-3</v>
      </c>
    </row>
    <row r="88" spans="2:5">
      <c r="B88" s="2">
        <v>70000</v>
      </c>
      <c r="C88" s="2">
        <f t="shared" si="7"/>
        <v>-2.2444827169850251E-3</v>
      </c>
      <c r="D88" s="2">
        <f t="shared" si="9"/>
        <v>22.736420441699334</v>
      </c>
      <c r="E88" s="2">
        <f t="shared" si="8"/>
        <v>-2.2444827169850251E-3</v>
      </c>
    </row>
    <row r="89" spans="2:5">
      <c r="B89" s="2">
        <v>80000</v>
      </c>
      <c r="C89" s="2">
        <f t="shared" si="7"/>
        <v>-1.7185361454735751E-3</v>
      </c>
      <c r="D89" s="2">
        <f t="shared" si="9"/>
        <v>19.894367886486915</v>
      </c>
      <c r="E89" s="2">
        <f t="shared" si="8"/>
        <v>-1.7185361454735751E-3</v>
      </c>
    </row>
    <row r="90" spans="2:5">
      <c r="B90" s="2">
        <v>90000</v>
      </c>
      <c r="C90" s="2">
        <f t="shared" si="7"/>
        <v>-1.3579121003449407E-3</v>
      </c>
      <c r="D90" s="2">
        <f t="shared" si="9"/>
        <v>17.683882565766147</v>
      </c>
      <c r="E90" s="2">
        <f t="shared" si="8"/>
        <v>-1.3579121003449407E-3</v>
      </c>
    </row>
    <row r="91" spans="2:5">
      <c r="B91" s="2">
        <v>100000</v>
      </c>
      <c r="C91" s="2">
        <f t="shared" si="7"/>
        <v>-1.0999414705602853E-3</v>
      </c>
      <c r="D91" s="2">
        <f t="shared" si="9"/>
        <v>15.915494309189533</v>
      </c>
      <c r="E91" s="2">
        <f t="shared" si="8"/>
        <v>-1.0999414705602853E-3</v>
      </c>
    </row>
    <row r="92" spans="2:5">
      <c r="B92" s="2">
        <v>200000</v>
      </c>
      <c r="C92" s="2">
        <f t="shared" si="7"/>
        <v>-2.7501148591186036E-4</v>
      </c>
      <c r="D92" s="2">
        <f t="shared" si="9"/>
        <v>7.9577471545947667</v>
      </c>
      <c r="E92" s="2">
        <f t="shared" si="8"/>
        <v>-2.7501148591186036E-4</v>
      </c>
    </row>
    <row r="93" spans="2:5">
      <c r="B93" s="2">
        <v>300000</v>
      </c>
      <c r="C93" s="2">
        <f t="shared" si="7"/>
        <v>-1.2222947704761892E-4</v>
      </c>
      <c r="D93" s="2">
        <f t="shared" si="9"/>
        <v>5.3051647697298447</v>
      </c>
      <c r="E93" s="2">
        <f t="shared" si="8"/>
        <v>-1.2222947704761892E-4</v>
      </c>
    </row>
    <row r="94" spans="2:5">
      <c r="B94" s="2">
        <v>400000</v>
      </c>
      <c r="C94" s="2">
        <f t="shared" si="7"/>
        <v>-6.8754504128880093E-5</v>
      </c>
      <c r="D94" s="2">
        <f t="shared" si="9"/>
        <v>3.9788735772973833</v>
      </c>
      <c r="E94" s="2">
        <f t="shared" si="8"/>
        <v>-6.8754504128880093E-5</v>
      </c>
    </row>
    <row r="95" spans="2:5">
      <c r="B95" s="2">
        <v>500000</v>
      </c>
      <c r="C95" s="2">
        <f t="shared" si="7"/>
        <v>-4.4003008033814247E-5</v>
      </c>
      <c r="D95" s="2">
        <f t="shared" si="9"/>
        <v>3.1830988618379075</v>
      </c>
      <c r="E95" s="2">
        <f t="shared" si="8"/>
        <v>-4.4003008033814247E-5</v>
      </c>
    </row>
    <row r="96" spans="2:5">
      <c r="B96" s="2">
        <v>600000</v>
      </c>
      <c r="C96" s="2">
        <f t="shared" si="7"/>
        <v>-3.0557691770040345E-5</v>
      </c>
      <c r="D96" s="2">
        <f t="shared" si="9"/>
        <v>2.6525823848649224</v>
      </c>
      <c r="E96" s="2">
        <f t="shared" si="8"/>
        <v>-3.0557691770040345E-5</v>
      </c>
    </row>
    <row r="97" spans="2:5">
      <c r="B97" s="2">
        <v>700000</v>
      </c>
      <c r="C97" s="2">
        <f t="shared" si="7"/>
        <v>-2.2450570011073854E-5</v>
      </c>
      <c r="D97" s="2">
        <f t="shared" si="9"/>
        <v>2.2736420441699337</v>
      </c>
      <c r="E97" s="2">
        <f t="shared" si="8"/>
        <v>-2.2450570011073854E-5</v>
      </c>
    </row>
    <row r="98" spans="2:5">
      <c r="B98" s="2">
        <v>800000</v>
      </c>
      <c r="C98" s="2">
        <f t="shared" si="7"/>
        <v>-1.7188728077354363E-5</v>
      </c>
      <c r="D98" s="2">
        <f t="shared" si="9"/>
        <v>1.9894367886486917</v>
      </c>
      <c r="E98" s="2">
        <f t="shared" si="8"/>
        <v>-1.7188728077354363E-5</v>
      </c>
    </row>
    <row r="99" spans="2:5">
      <c r="B99" s="2">
        <v>900000</v>
      </c>
      <c r="C99" s="2">
        <f t="shared" si="7"/>
        <v>-1.3581222887220424E-5</v>
      </c>
      <c r="D99" s="2">
        <f t="shared" si="9"/>
        <v>1.7683882565766149</v>
      </c>
      <c r="E99" s="2">
        <f t="shared" si="8"/>
        <v>-1.3581222887220424E-5</v>
      </c>
    </row>
    <row r="100" spans="2:5">
      <c r="B100" s="2">
        <v>1000000</v>
      </c>
      <c r="C100" s="2">
        <f t="shared" si="7"/>
        <v>-1.1000793805966119E-5</v>
      </c>
      <c r="D100" s="2">
        <f t="shared" si="9"/>
        <v>1.5915494309189537</v>
      </c>
      <c r="E100" s="2">
        <f t="shared" si="8"/>
        <v>-1.1000793805966119E-5</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7D8C86-7CC2-433C-83C8-07A03809C660}">
  <dimension ref="B1:Z102"/>
  <sheetViews>
    <sheetView zoomScale="85" zoomScaleNormal="85" workbookViewId="0">
      <selection activeCell="C4" sqref="C4"/>
    </sheetView>
  </sheetViews>
  <sheetFormatPr defaultColWidth="9.140625" defaultRowHeight="15"/>
  <cols>
    <col min="1" max="1" width="5.140625" style="2" customWidth="1"/>
    <col min="2" max="2" width="9.140625" style="2"/>
    <col min="3" max="3" width="13.140625" style="2" bestFit="1" customWidth="1"/>
    <col min="4" max="4" width="14.7109375" style="2" customWidth="1"/>
    <col min="5" max="5" width="11.85546875" style="2" customWidth="1"/>
    <col min="6" max="7" width="9.140625" style="2"/>
    <col min="8" max="8" width="11" style="2" customWidth="1"/>
    <col min="9" max="16384" width="9.140625" style="2"/>
  </cols>
  <sheetData>
    <row r="1" spans="2:26" ht="46.5">
      <c r="B1" s="1" t="s">
        <v>261</v>
      </c>
    </row>
    <row r="2" spans="2:26" ht="15.75" thickBot="1">
      <c r="B2" s="2" t="s">
        <v>262</v>
      </c>
      <c r="H2" s="6" t="s">
        <v>36</v>
      </c>
    </row>
    <row r="3" spans="2:26" ht="15.75" thickBot="1">
      <c r="B3" s="6" t="s">
        <v>263</v>
      </c>
      <c r="E3" s="6" t="s">
        <v>264</v>
      </c>
      <c r="H3" s="2" t="s">
        <v>9</v>
      </c>
      <c r="I3" s="4">
        <v>5</v>
      </c>
      <c r="J3" s="2" t="s">
        <v>18</v>
      </c>
    </row>
    <row r="4" spans="2:26" ht="15.75" thickBot="1">
      <c r="B4" s="2" t="s">
        <v>12</v>
      </c>
      <c r="C4" s="4">
        <v>8</v>
      </c>
      <c r="D4" s="2" t="s">
        <v>16</v>
      </c>
      <c r="E4" s="2" t="s">
        <v>13</v>
      </c>
      <c r="F4" s="4">
        <v>8</v>
      </c>
      <c r="G4" s="2" t="s">
        <v>16</v>
      </c>
      <c r="H4" s="2" t="s">
        <v>10</v>
      </c>
      <c r="I4" s="5">
        <v>-5</v>
      </c>
      <c r="J4" s="2" t="s">
        <v>19</v>
      </c>
      <c r="Z4"/>
    </row>
    <row r="5" spans="2:26" ht="15.75" thickBot="1">
      <c r="B5" s="2" t="s">
        <v>82</v>
      </c>
      <c r="C5" s="4">
        <v>0.01</v>
      </c>
      <c r="D5" s="2" t="s">
        <v>83</v>
      </c>
      <c r="E5" s="2" t="s">
        <v>265</v>
      </c>
      <c r="F5" s="4">
        <v>0.1</v>
      </c>
      <c r="G5" s="2" t="s">
        <v>83</v>
      </c>
      <c r="H5" s="2" t="s">
        <v>31</v>
      </c>
      <c r="I5" s="4">
        <v>1.2</v>
      </c>
      <c r="J5" s="2" t="s">
        <v>32</v>
      </c>
    </row>
    <row r="6" spans="2:26">
      <c r="B6" s="2" t="s">
        <v>266</v>
      </c>
      <c r="C6" s="3">
        <f>1/(2*PI()*C11*C5*0.000001)</f>
        <v>25298.221281347032</v>
      </c>
      <c r="D6" s="2" t="s">
        <v>214</v>
      </c>
      <c r="E6" s="2" t="s">
        <v>267</v>
      </c>
      <c r="F6" s="3">
        <f>1/(2*PI()*C11*F5*0.000001)</f>
        <v>2529.8221281347032</v>
      </c>
      <c r="G6" s="2" t="s">
        <v>214</v>
      </c>
    </row>
    <row r="7" spans="2:26" ht="15.75" thickBot="1">
      <c r="B7" s="2" t="s">
        <v>81</v>
      </c>
      <c r="C7" s="3">
        <f>1/(2*PI()*(C4*1000)*(C5*0.000001))</f>
        <v>1989.4367886486921</v>
      </c>
      <c r="D7" s="2" t="s">
        <v>80</v>
      </c>
      <c r="E7" s="2" t="s">
        <v>81</v>
      </c>
      <c r="F7" s="3">
        <f>1/(2*PI()*(F4*1000)*(F5*0.000001))</f>
        <v>198.94367886486921</v>
      </c>
      <c r="G7" s="2" t="s">
        <v>80</v>
      </c>
      <c r="H7" s="6" t="s">
        <v>33</v>
      </c>
    </row>
    <row r="8" spans="2:26" ht="15.75" thickBot="1">
      <c r="B8" s="2" t="s">
        <v>0</v>
      </c>
      <c r="C8" s="3">
        <v>0</v>
      </c>
      <c r="D8" s="2" t="s">
        <v>17</v>
      </c>
      <c r="F8" s="3"/>
      <c r="H8" s="6" t="s">
        <v>29</v>
      </c>
      <c r="I8" s="4">
        <v>1</v>
      </c>
      <c r="J8" s="2" t="s">
        <v>17</v>
      </c>
    </row>
    <row r="9" spans="2:26" ht="15.75" thickBot="1">
      <c r="B9" s="2" t="s">
        <v>1</v>
      </c>
      <c r="C9" s="3">
        <f>1</f>
        <v>1</v>
      </c>
      <c r="D9" s="2" t="s">
        <v>39</v>
      </c>
      <c r="E9" s="2" t="s">
        <v>268</v>
      </c>
      <c r="F9" s="3">
        <f>SQRT(F7*C7)</f>
        <v>629.11515130608802</v>
      </c>
      <c r="G9" s="2" t="s">
        <v>80</v>
      </c>
      <c r="H9" s="6" t="s">
        <v>34</v>
      </c>
      <c r="I9" s="3">
        <f>IF($C$9*I8/SQRT(1+($C$11/$C$7)^2)&gt;($I$3-$I$5),($I$3-$I$5),IF($C$9*I8/SQRT(1+($C$11/$C$7)^2)&lt;($I$4+$I$5),($I$4+$I$5),$C$9*I8/SQRT(1+($C$11/$C$7)^2)))</f>
        <v>0.95346258924559224</v>
      </c>
      <c r="J9" s="2" t="s">
        <v>17</v>
      </c>
    </row>
    <row r="10" spans="2:26" ht="15.75" thickBot="1">
      <c r="B10" s="2" t="s">
        <v>25</v>
      </c>
      <c r="C10" s="4">
        <v>1</v>
      </c>
      <c r="D10" s="2" t="s">
        <v>38</v>
      </c>
      <c r="E10" s="2" t="s">
        <v>269</v>
      </c>
      <c r="F10" s="3">
        <f>C7-F7</f>
        <v>1790.4931097838228</v>
      </c>
      <c r="G10" s="2" t="s">
        <v>80</v>
      </c>
    </row>
    <row r="11" spans="2:26" ht="18.75" thickBot="1">
      <c r="B11" s="2" t="s">
        <v>84</v>
      </c>
      <c r="C11" s="4">
        <f>F9</f>
        <v>629.11515130608802</v>
      </c>
      <c r="D11" s="2" t="s">
        <v>80</v>
      </c>
      <c r="E11" s="2" t="s">
        <v>270</v>
      </c>
      <c r="F11" s="3">
        <f>F9/F10</f>
        <v>0.35136418446315326</v>
      </c>
      <c r="H11" s="6" t="s">
        <v>103</v>
      </c>
    </row>
    <row r="12" spans="2:26">
      <c r="B12" s="2" t="s">
        <v>87</v>
      </c>
      <c r="C12" s="3">
        <f>1/C11</f>
        <v>1.5895341225273759E-3</v>
      </c>
      <c r="D12" s="2" t="s">
        <v>86</v>
      </c>
      <c r="H12" s="17" t="s">
        <v>104</v>
      </c>
      <c r="I12" s="3">
        <f>1000*(C4*1000)*(C5*0.000001)</f>
        <v>0.08</v>
      </c>
      <c r="J12" s="2" t="s">
        <v>105</v>
      </c>
    </row>
    <row r="13" spans="2:26" ht="15.75" thickBot="1"/>
    <row r="14" spans="2:26" ht="15.75" thickBot="1">
      <c r="B14" s="2" t="s">
        <v>89</v>
      </c>
      <c r="C14" s="4">
        <v>4</v>
      </c>
      <c r="D14" s="2" t="s">
        <v>90</v>
      </c>
    </row>
    <row r="15" spans="2:26">
      <c r="B15" s="2" t="s">
        <v>88</v>
      </c>
      <c r="C15" s="3">
        <f>C12*C14/25</f>
        <v>2.5432545960438012E-4</v>
      </c>
      <c r="D15" s="2" t="s">
        <v>86</v>
      </c>
    </row>
    <row r="16" spans="2:26">
      <c r="E16" s="6" t="s">
        <v>30</v>
      </c>
    </row>
    <row r="17" spans="2:18">
      <c r="B17" s="7" t="s">
        <v>85</v>
      </c>
      <c r="C17" s="7" t="s">
        <v>7</v>
      </c>
      <c r="D17" s="7" t="s">
        <v>3</v>
      </c>
      <c r="E17" s="7" t="s">
        <v>3</v>
      </c>
      <c r="F17" s="28" t="s">
        <v>216</v>
      </c>
      <c r="G17" s="28"/>
    </row>
    <row r="18" spans="2:18">
      <c r="B18" s="2">
        <v>0</v>
      </c>
      <c r="C18" s="2">
        <f>$C$10*SIN($B18*$C$11*2*PI())</f>
        <v>0</v>
      </c>
      <c r="D18" s="2">
        <f>$C$10*$P$35*$S$35*SIN($P$34*B18+$P$36+$S$36)</f>
        <v>0</v>
      </c>
      <c r="E18" s="2">
        <f t="shared" ref="E18:E43" si="0">IF(D18&gt;($I$3-$I$5),($I$3-$I$5),IF(D18&lt;($I$4+$I$5),($I$4+$I$5),D18))</f>
        <v>0</v>
      </c>
      <c r="F18" s="28">
        <f>C18*$C$6/SQRT($C$6^2+($C$4*1000)^2)*($F$4*1000)/SQRT($F$6^2+($C$4*1000)^2)</f>
        <v>0</v>
      </c>
    </row>
    <row r="19" spans="2:18">
      <c r="B19" s="2">
        <f>B18+$C$15</f>
        <v>2.5432545960438012E-4</v>
      </c>
      <c r="C19" s="2">
        <f t="shared" ref="C19:C43" si="1">$C$10*SIN($B19*$C$11*2*PI())</f>
        <v>0.84432792550201496</v>
      </c>
      <c r="D19" s="2">
        <f t="shared" ref="D19:D43" si="2">$C$10*$P$35*$S$35*SIN($P$34*B19+$P$36+$S$36)</f>
        <v>0.76757084136546805</v>
      </c>
      <c r="E19" s="2">
        <f t="shared" si="0"/>
        <v>0.76757084136546805</v>
      </c>
      <c r="F19" s="28">
        <f t="shared" ref="F19:F43" si="3">C19*$C$6/SQRT($C$6^2+($C$4*1000)^2)*($F$4*1000)/SQRT($F$6^2+($C$4*1000)^2)</f>
        <v>0.76757084136546816</v>
      </c>
    </row>
    <row r="20" spans="2:18">
      <c r="B20" s="2">
        <f t="shared" ref="B20:B43" si="4">B19+$C$15</f>
        <v>5.0865091920876025E-4</v>
      </c>
      <c r="C20" s="2">
        <f t="shared" si="1"/>
        <v>0.90482705246601969</v>
      </c>
      <c r="D20" s="2">
        <f t="shared" si="2"/>
        <v>0.82257004769638142</v>
      </c>
      <c r="E20" s="2">
        <f t="shared" si="0"/>
        <v>0.82257004769638142</v>
      </c>
      <c r="F20" s="28">
        <f t="shared" si="3"/>
        <v>0.82257004769638153</v>
      </c>
    </row>
    <row r="21" spans="2:18">
      <c r="B21" s="2">
        <f t="shared" si="4"/>
        <v>7.6297637881314042E-4</v>
      </c>
      <c r="C21" s="2">
        <f t="shared" si="1"/>
        <v>0.12533323356430454</v>
      </c>
      <c r="D21" s="2">
        <f t="shared" si="2"/>
        <v>0.11393930324027683</v>
      </c>
      <c r="E21" s="2">
        <f t="shared" si="0"/>
        <v>0.11393930324027683</v>
      </c>
      <c r="F21" s="28">
        <f t="shared" si="3"/>
        <v>0.11393930324027686</v>
      </c>
    </row>
    <row r="22" spans="2:18">
      <c r="B22" s="2">
        <f t="shared" si="4"/>
        <v>1.0173018384175205E-3</v>
      </c>
      <c r="C22" s="2">
        <f t="shared" si="1"/>
        <v>-0.77051324277578881</v>
      </c>
      <c r="D22" s="2">
        <f t="shared" si="2"/>
        <v>-0.70046658434162612</v>
      </c>
      <c r="E22" s="2">
        <f t="shared" si="0"/>
        <v>-0.70046658434162612</v>
      </c>
      <c r="F22" s="28">
        <f t="shared" si="3"/>
        <v>-0.70046658434162623</v>
      </c>
    </row>
    <row r="23" spans="2:18" ht="15.75">
      <c r="B23" s="2">
        <f t="shared" si="4"/>
        <v>1.2716272980219006E-3</v>
      </c>
      <c r="C23" s="2">
        <f t="shared" si="1"/>
        <v>-0.95105651629515386</v>
      </c>
      <c r="D23" s="2">
        <f t="shared" si="2"/>
        <v>-0.86459683299559431</v>
      </c>
      <c r="E23" s="2">
        <f t="shared" si="0"/>
        <v>-0.86459683299559431</v>
      </c>
      <c r="F23" s="28">
        <f t="shared" si="3"/>
        <v>-0.86459683299559442</v>
      </c>
      <c r="Q23" s="26"/>
      <c r="R23" s="26"/>
    </row>
    <row r="24" spans="2:18" ht="15.75">
      <c r="B24" s="2">
        <f t="shared" si="4"/>
        <v>1.5259527576262806E-3</v>
      </c>
      <c r="C24" s="2">
        <f t="shared" si="1"/>
        <v>-0.24868988716485621</v>
      </c>
      <c r="D24" s="2">
        <f t="shared" si="2"/>
        <v>-0.2260817156044147</v>
      </c>
      <c r="E24" s="2">
        <f t="shared" si="0"/>
        <v>-0.2260817156044147</v>
      </c>
      <c r="F24" s="28">
        <f t="shared" si="3"/>
        <v>-0.22608171560441473</v>
      </c>
      <c r="Q24" s="26"/>
      <c r="R24" s="26"/>
    </row>
    <row r="25" spans="2:18">
      <c r="B25" s="2">
        <f t="shared" si="4"/>
        <v>1.7802782172306607E-3</v>
      </c>
      <c r="C25" s="2">
        <f t="shared" si="1"/>
        <v>0.68454710592868662</v>
      </c>
      <c r="D25" s="2">
        <f t="shared" si="2"/>
        <v>0.62231555084426105</v>
      </c>
      <c r="E25" s="2">
        <f t="shared" si="0"/>
        <v>0.62231555084426105</v>
      </c>
      <c r="F25" s="28">
        <f t="shared" si="3"/>
        <v>0.62231555084426049</v>
      </c>
    </row>
    <row r="26" spans="2:18">
      <c r="B26" s="2">
        <f t="shared" si="4"/>
        <v>2.034603676835041E-3</v>
      </c>
      <c r="C26" s="2">
        <f t="shared" si="1"/>
        <v>0.98228725072868894</v>
      </c>
      <c r="D26" s="2">
        <f t="shared" si="2"/>
        <v>0.89298840975335347</v>
      </c>
      <c r="E26" s="2">
        <f t="shared" si="0"/>
        <v>0.89298840975335347</v>
      </c>
      <c r="F26" s="28">
        <f t="shared" si="3"/>
        <v>0.89298840975335358</v>
      </c>
    </row>
    <row r="27" spans="2:18">
      <c r="B27" s="2">
        <f t="shared" si="4"/>
        <v>2.2889291364394213E-3</v>
      </c>
      <c r="C27" s="2">
        <f t="shared" si="1"/>
        <v>0.36812455268467797</v>
      </c>
      <c r="D27" s="2">
        <f t="shared" si="2"/>
        <v>0.33465868425879958</v>
      </c>
      <c r="E27" s="2">
        <f t="shared" si="0"/>
        <v>0.33465868425879958</v>
      </c>
      <c r="F27" s="28">
        <f t="shared" si="3"/>
        <v>0.33465868425879813</v>
      </c>
    </row>
    <row r="28" spans="2:18">
      <c r="B28" s="2">
        <f t="shared" si="4"/>
        <v>2.5432545960438016E-3</v>
      </c>
      <c r="C28" s="2">
        <f t="shared" si="1"/>
        <v>-0.5877852522924728</v>
      </c>
      <c r="D28" s="2">
        <f t="shared" si="2"/>
        <v>-0.53435022935679333</v>
      </c>
      <c r="E28" s="2">
        <f t="shared" si="0"/>
        <v>-0.53435022935679333</v>
      </c>
      <c r="F28" s="28">
        <f t="shared" si="3"/>
        <v>-0.53435022935679355</v>
      </c>
    </row>
    <row r="29" spans="2:18">
      <c r="B29" s="2">
        <f t="shared" si="4"/>
        <v>2.7975800556481818E-3</v>
      </c>
      <c r="C29" s="2">
        <f t="shared" si="1"/>
        <v>-0.99802672842827156</v>
      </c>
      <c r="D29" s="2">
        <f t="shared" si="2"/>
        <v>-0.90729702584388305</v>
      </c>
      <c r="E29" s="2">
        <f t="shared" si="0"/>
        <v>-0.90729702584388305</v>
      </c>
      <c r="F29" s="28">
        <f t="shared" si="3"/>
        <v>-0.90729702584388316</v>
      </c>
    </row>
    <row r="30" spans="2:18">
      <c r="B30" s="2">
        <f t="shared" si="4"/>
        <v>3.0519055152525621E-3</v>
      </c>
      <c r="C30" s="2">
        <f t="shared" si="1"/>
        <v>-0.48175367410171477</v>
      </c>
      <c r="D30" s="2">
        <f t="shared" si="2"/>
        <v>-0.43795788554701337</v>
      </c>
      <c r="E30" s="2">
        <f t="shared" si="0"/>
        <v>-0.43795788554701337</v>
      </c>
      <c r="F30" s="28">
        <f t="shared" si="3"/>
        <v>-0.43795788554701343</v>
      </c>
    </row>
    <row r="31" spans="2:18">
      <c r="B31" s="2">
        <f t="shared" si="4"/>
        <v>3.3062309748569424E-3</v>
      </c>
      <c r="C31" s="2">
        <f t="shared" si="1"/>
        <v>0.48175367410171543</v>
      </c>
      <c r="D31" s="2">
        <f t="shared" si="2"/>
        <v>0.43795788554701398</v>
      </c>
      <c r="E31" s="2">
        <f t="shared" si="0"/>
        <v>0.43795788554701398</v>
      </c>
      <c r="F31" s="28">
        <f t="shared" si="3"/>
        <v>0.43795788554701404</v>
      </c>
    </row>
    <row r="32" spans="2:18">
      <c r="B32" s="2">
        <f t="shared" si="4"/>
        <v>3.5605564344613227E-3</v>
      </c>
      <c r="C32" s="2">
        <f t="shared" si="1"/>
        <v>0.99802672842827167</v>
      </c>
      <c r="D32" s="2">
        <f t="shared" si="2"/>
        <v>0.90729702584388316</v>
      </c>
      <c r="E32" s="2">
        <f t="shared" si="0"/>
        <v>0.90729702584388316</v>
      </c>
      <c r="F32" s="28">
        <f t="shared" si="3"/>
        <v>0.90729702584388328</v>
      </c>
    </row>
    <row r="33" spans="2:20">
      <c r="B33" s="2">
        <f t="shared" si="4"/>
        <v>3.814881894065703E-3</v>
      </c>
      <c r="C33" s="2">
        <f t="shared" si="1"/>
        <v>0.58778525229247214</v>
      </c>
      <c r="D33" s="2">
        <f t="shared" si="2"/>
        <v>0.53435022935679277</v>
      </c>
      <c r="E33" s="2">
        <f t="shared" si="0"/>
        <v>0.53435022935679277</v>
      </c>
      <c r="F33" s="28">
        <f t="shared" si="3"/>
        <v>0.53435022935679288</v>
      </c>
      <c r="O33" s="6" t="s">
        <v>263</v>
      </c>
      <c r="R33" s="6" t="s">
        <v>264</v>
      </c>
    </row>
    <row r="34" spans="2:20">
      <c r="B34" s="2">
        <f t="shared" si="4"/>
        <v>4.0692073536700828E-3</v>
      </c>
      <c r="C34" s="2">
        <f t="shared" si="1"/>
        <v>-0.3681245526846787</v>
      </c>
      <c r="D34" s="2">
        <f t="shared" si="2"/>
        <v>-0.33465868425879874</v>
      </c>
      <c r="E34" s="2">
        <f t="shared" si="0"/>
        <v>-0.33465868425879874</v>
      </c>
      <c r="F34" s="28">
        <f t="shared" si="3"/>
        <v>-0.3346586842587988</v>
      </c>
      <c r="O34" s="33" t="s">
        <v>287</v>
      </c>
      <c r="P34" s="9">
        <f>2*PI()*C11</f>
        <v>3952.8470752104745</v>
      </c>
      <c r="R34" s="33" t="s">
        <v>287</v>
      </c>
      <c r="S34" s="9">
        <f>2*PI()*C11</f>
        <v>3952.8470752104745</v>
      </c>
    </row>
    <row r="35" spans="2:20">
      <c r="B35" s="2">
        <f t="shared" si="4"/>
        <v>4.3235328132744631E-3</v>
      </c>
      <c r="C35" s="2">
        <f t="shared" si="1"/>
        <v>-0.98228725072868905</v>
      </c>
      <c r="D35" s="2">
        <f t="shared" si="2"/>
        <v>-0.89298840975335358</v>
      </c>
      <c r="E35" s="2">
        <f t="shared" si="0"/>
        <v>-0.89298840975335358</v>
      </c>
      <c r="F35" s="28">
        <f t="shared" si="3"/>
        <v>-0.8929884097533537</v>
      </c>
      <c r="O35" s="2" t="s">
        <v>291</v>
      </c>
      <c r="P35" s="9">
        <f>1/SQRT(1+(P34*C4*1000*C5*0.000001)^2)</f>
        <v>0.95346258924559224</v>
      </c>
      <c r="R35" s="2" t="s">
        <v>291</v>
      </c>
      <c r="S35" s="9">
        <f>(S34*$F$4*1000*$F$5*0.000001)/SQRT(1+(S34*$F$4*1000*$F$5*0.000001)^2)</f>
        <v>0.95346258924559224</v>
      </c>
    </row>
    <row r="36" spans="2:20">
      <c r="B36" s="2">
        <f t="shared" si="4"/>
        <v>4.5778582728788434E-3</v>
      </c>
      <c r="C36" s="2">
        <f t="shared" si="1"/>
        <v>-0.68454710592868862</v>
      </c>
      <c r="D36" s="2">
        <f t="shared" si="2"/>
        <v>-0.62231555084426227</v>
      </c>
      <c r="E36" s="2">
        <f t="shared" si="0"/>
        <v>-0.62231555084426227</v>
      </c>
      <c r="F36" s="28">
        <f t="shared" si="3"/>
        <v>-0.62231555084426238</v>
      </c>
      <c r="O36" s="33" t="s">
        <v>288</v>
      </c>
      <c r="P36" s="9">
        <f>-ATAN(P34*C4*1000*C5*0.000001)</f>
        <v>-0.30627736916966947</v>
      </c>
      <c r="Q36" s="2" t="s">
        <v>290</v>
      </c>
      <c r="R36" s="33" t="s">
        <v>288</v>
      </c>
      <c r="S36" s="9">
        <f>ATAN(1/(S34*$F$4*1000*$F$5*0.000001))</f>
        <v>0.30627736916966947</v>
      </c>
      <c r="T36" s="2" t="s">
        <v>290</v>
      </c>
    </row>
    <row r="37" spans="2:20">
      <c r="B37" s="2">
        <f t="shared" si="4"/>
        <v>4.8321837324832237E-3</v>
      </c>
      <c r="C37" s="2">
        <f t="shared" si="1"/>
        <v>0.24868988716485613</v>
      </c>
      <c r="D37" s="2">
        <f t="shared" si="2"/>
        <v>0.22608171560441462</v>
      </c>
      <c r="E37" s="2">
        <f t="shared" si="0"/>
        <v>0.22608171560441462</v>
      </c>
      <c r="F37" s="28">
        <f t="shared" si="3"/>
        <v>0.22608171560441465</v>
      </c>
      <c r="H37" s="6" t="s">
        <v>65</v>
      </c>
      <c r="O37" s="17" t="s">
        <v>286</v>
      </c>
      <c r="P37" s="9">
        <f>ABS(P36)/P34</f>
        <v>7.7482726587231138E-5</v>
      </c>
      <c r="Q37" s="2" t="s">
        <v>289</v>
      </c>
      <c r="R37" s="17" t="s">
        <v>286</v>
      </c>
      <c r="S37" s="9">
        <f>ABS(S36)/S34</f>
        <v>7.7482726587231138E-5</v>
      </c>
      <c r="T37" s="2" t="s">
        <v>289</v>
      </c>
    </row>
    <row r="38" spans="2:20">
      <c r="B38" s="2">
        <f t="shared" si="4"/>
        <v>5.086509192087604E-3</v>
      </c>
      <c r="C38" s="2">
        <f t="shared" si="1"/>
        <v>0.95105651629515442</v>
      </c>
      <c r="D38" s="2">
        <f t="shared" si="2"/>
        <v>0.86459683299559476</v>
      </c>
      <c r="E38" s="2">
        <f t="shared" si="0"/>
        <v>0.86459683299559476</v>
      </c>
      <c r="F38" s="28">
        <f t="shared" si="3"/>
        <v>0.86459683299559498</v>
      </c>
      <c r="H38" s="12" t="s">
        <v>64</v>
      </c>
      <c r="I38" s="12">
        <f>I3</f>
        <v>5</v>
      </c>
      <c r="J38" s="12" t="s">
        <v>17</v>
      </c>
      <c r="K38" s="13" t="str">
        <f>TRIM(H38)&amp;"   "&amp;IF(I38&gt;0,"+","")&amp;TRIM(I38)&amp;" "&amp;TRIM(J38)</f>
        <v>V+:   +5 V</v>
      </c>
    </row>
    <row r="39" spans="2:20">
      <c r="B39" s="2">
        <f t="shared" si="4"/>
        <v>5.3408346516919843E-3</v>
      </c>
      <c r="C39" s="2">
        <f t="shared" si="1"/>
        <v>0.77051324277578659</v>
      </c>
      <c r="D39" s="2">
        <f t="shared" si="2"/>
        <v>0.70046658434162401</v>
      </c>
      <c r="E39" s="2">
        <f t="shared" si="0"/>
        <v>0.70046658434162401</v>
      </c>
      <c r="F39" s="28">
        <f t="shared" si="3"/>
        <v>0.70046658434162412</v>
      </c>
      <c r="H39" s="12" t="s">
        <v>66</v>
      </c>
      <c r="I39" s="12">
        <f>I4</f>
        <v>-5</v>
      </c>
      <c r="J39" s="12" t="s">
        <v>17</v>
      </c>
      <c r="K39" s="13" t="str">
        <f t="shared" ref="K39:K40" si="5">TRIM(H39)&amp;"   "&amp;IF(I39&gt;0,"+","")&amp;TRIM(I39)&amp;" "&amp;TRIM(J39)</f>
        <v>V-:   -5 V</v>
      </c>
    </row>
    <row r="40" spans="2:20">
      <c r="B40" s="2">
        <f t="shared" si="4"/>
        <v>5.5951601112963645E-3</v>
      </c>
      <c r="C40" s="2">
        <f t="shared" si="1"/>
        <v>-0.12533323356430973</v>
      </c>
      <c r="D40" s="2">
        <f t="shared" si="2"/>
        <v>-0.11393930324027834</v>
      </c>
      <c r="E40" s="2">
        <f t="shared" si="0"/>
        <v>-0.11393930324027834</v>
      </c>
      <c r="F40" s="28">
        <f t="shared" si="3"/>
        <v>-0.11393930324028158</v>
      </c>
      <c r="H40" s="12" t="s">
        <v>29</v>
      </c>
      <c r="I40" s="12">
        <f>I8</f>
        <v>1</v>
      </c>
      <c r="J40" s="12" t="s">
        <v>17</v>
      </c>
      <c r="K40" s="13" t="str">
        <f t="shared" si="5"/>
        <v>Vin:   +1 V</v>
      </c>
    </row>
    <row r="41" spans="2:20">
      <c r="B41" s="2">
        <f t="shared" si="4"/>
        <v>5.8494855709007448E-3</v>
      </c>
      <c r="C41" s="2">
        <f t="shared" si="1"/>
        <v>-0.90482705246602091</v>
      </c>
      <c r="D41" s="2">
        <f t="shared" si="2"/>
        <v>-0.82257004769638253</v>
      </c>
      <c r="E41" s="2">
        <f t="shared" si="0"/>
        <v>-0.82257004769638253</v>
      </c>
      <c r="F41" s="28">
        <f t="shared" si="3"/>
        <v>-0.82257004769638264</v>
      </c>
      <c r="H41" s="12" t="s">
        <v>67</v>
      </c>
      <c r="I41" s="12">
        <f>C4</f>
        <v>8</v>
      </c>
      <c r="J41" s="12" t="s">
        <v>16</v>
      </c>
      <c r="K41" s="13" t="str">
        <f>TRIM(H41)&amp;"   "&amp;TRIM(I41)&amp;" "&amp;TRIM(J41)</f>
        <v>R1:   8 K</v>
      </c>
    </row>
    <row r="42" spans="2:20">
      <c r="B42" s="2">
        <f t="shared" si="4"/>
        <v>6.1038110305051251E-3</v>
      </c>
      <c r="C42" s="2">
        <f t="shared" si="1"/>
        <v>-0.84432792550201252</v>
      </c>
      <c r="D42" s="2">
        <f t="shared" si="2"/>
        <v>-0.76757084136546583</v>
      </c>
      <c r="E42" s="2">
        <f t="shared" si="0"/>
        <v>-0.76757084136546583</v>
      </c>
      <c r="F42" s="28">
        <f t="shared" si="3"/>
        <v>-0.76757084136546583</v>
      </c>
      <c r="H42" s="12" t="s">
        <v>100</v>
      </c>
      <c r="I42" s="12">
        <f>C5</f>
        <v>0.01</v>
      </c>
      <c r="J42" s="12" t="s">
        <v>83</v>
      </c>
      <c r="K42" s="13" t="str">
        <f>TRIM(H42)&amp;"   "&amp;TRIM(I42)&amp;" "&amp;TRIM(J42)</f>
        <v>C1:   0.01 uF</v>
      </c>
    </row>
    <row r="43" spans="2:20">
      <c r="B43" s="2">
        <f t="shared" si="4"/>
        <v>6.3581364901095054E-3</v>
      </c>
      <c r="C43" s="2">
        <f t="shared" si="1"/>
        <v>6.1253085936741059E-15</v>
      </c>
      <c r="D43" s="2">
        <f t="shared" si="2"/>
        <v>5.56846235788555E-15</v>
      </c>
      <c r="E43" s="2">
        <f t="shared" si="0"/>
        <v>5.56846235788555E-15</v>
      </c>
      <c r="F43" s="28">
        <f t="shared" si="3"/>
        <v>5.5684623578855508E-15</v>
      </c>
      <c r="H43" s="12" t="s">
        <v>72</v>
      </c>
      <c r="I43" s="12">
        <f>F4</f>
        <v>8</v>
      </c>
      <c r="J43" s="12" t="s">
        <v>16</v>
      </c>
      <c r="K43" s="13" t="str">
        <f>TRIM(H43)&amp;"   "&amp;TRIM(I43)&amp;" "&amp;TRIM(J43)</f>
        <v>R2:   8 K</v>
      </c>
    </row>
    <row r="44" spans="2:20">
      <c r="H44" s="12" t="s">
        <v>271</v>
      </c>
      <c r="I44" s="12">
        <f>F5</f>
        <v>0.1</v>
      </c>
      <c r="J44" s="12" t="s">
        <v>83</v>
      </c>
      <c r="K44" s="13" t="str">
        <f>TRIM(H44)&amp;"   "&amp;TRIM(I44)&amp;" "&amp;TRIM(J44)</f>
        <v>C2:   0.1 uF</v>
      </c>
    </row>
    <row r="45" spans="2:20">
      <c r="B45" s="6" t="s">
        <v>92</v>
      </c>
      <c r="H45" s="12" t="s">
        <v>101</v>
      </c>
      <c r="I45" s="12">
        <f>ROUND(C11,0)</f>
        <v>629</v>
      </c>
      <c r="J45" s="12" t="s">
        <v>80</v>
      </c>
      <c r="K45" s="13" t="str">
        <f>TRIM(H45)&amp;"   "&amp;TRIM(I45)&amp;" "&amp;TRIM(J45)</f>
        <v>f,signal:   629 Hz</v>
      </c>
    </row>
    <row r="46" spans="2:20" ht="15.75">
      <c r="B46" s="14"/>
      <c r="C46" s="2" t="s">
        <v>95</v>
      </c>
    </row>
    <row r="47" spans="2:20">
      <c r="B47" s="7" t="s">
        <v>93</v>
      </c>
      <c r="C47" s="7" t="s">
        <v>266</v>
      </c>
      <c r="D47" s="7" t="s">
        <v>267</v>
      </c>
      <c r="E47" s="7" t="s">
        <v>94</v>
      </c>
      <c r="F47" s="7" t="s">
        <v>218</v>
      </c>
    </row>
    <row r="48" spans="2:20">
      <c r="B48" s="2">
        <v>1</v>
      </c>
      <c r="C48" s="2">
        <f>1/(2*PI()*B48*$C$5*0.000001)</f>
        <v>15915494.309189534</v>
      </c>
      <c r="D48" s="2">
        <f>1/(2*PI()*B48*$F$5*0.000001)</f>
        <v>1591549.4309189534</v>
      </c>
      <c r="E48" s="2">
        <f>20*LOG((1/(SQRT(1+(B48/$C$7)^2)))*(B48/$F$7)/SQRT(1+(B48/$F$7)^2))</f>
        <v>-45.974713718566143</v>
      </c>
      <c r="F48" s="2">
        <f>20*LOG(C48/SQRT((C48^2+($C$4*1000)^2))*($F$4*1000)/SQRT(D48^2+($C$4*1000)^2))</f>
        <v>-45.974713718566143</v>
      </c>
    </row>
    <row r="49" spans="2:22">
      <c r="B49" s="2">
        <v>2</v>
      </c>
      <c r="C49" s="2">
        <f t="shared" ref="C49:C102" si="6">1/(2*PI()*B49*$C$5*0.000001)</f>
        <v>7957747.1545947669</v>
      </c>
      <c r="D49" s="2">
        <f t="shared" ref="D49:D102" si="7">1/(2*PI()*B49*$F$5*0.000001)</f>
        <v>795774.71545947669</v>
      </c>
      <c r="E49" s="2">
        <f t="shared" ref="E49:E102" si="8">20*LOG((1/(SQRT(1+(B49/$C$7)^2)))*(B49/$F$7)/SQRT(1+(B49/$F$7)^2))</f>
        <v>-39.954446265353511</v>
      </c>
      <c r="F49" s="2">
        <f t="shared" ref="F49:F102" si="9">20*LOG(C49/SQRT((C49^2+($C$4*1000)^2))*($F$4*1000)/SQRT(D49^2+($C$4*1000)^2))</f>
        <v>-39.954446265353511</v>
      </c>
    </row>
    <row r="50" spans="2:22">
      <c r="B50" s="2">
        <v>3</v>
      </c>
      <c r="C50" s="2">
        <f t="shared" si="6"/>
        <v>5305164.7697298443</v>
      </c>
      <c r="D50" s="2">
        <f t="shared" si="7"/>
        <v>530516.4769729845</v>
      </c>
      <c r="E50" s="2">
        <f t="shared" si="8"/>
        <v>-36.433175128910065</v>
      </c>
      <c r="F50" s="2">
        <f t="shared" si="9"/>
        <v>-36.433175128910065</v>
      </c>
    </row>
    <row r="51" spans="2:22">
      <c r="B51" s="2">
        <v>4</v>
      </c>
      <c r="C51" s="2">
        <f t="shared" si="6"/>
        <v>3978873.5772973835</v>
      </c>
      <c r="D51" s="2">
        <f t="shared" si="7"/>
        <v>397887.35772973835</v>
      </c>
      <c r="E51" s="2">
        <f t="shared" si="8"/>
        <v>-33.935175942884619</v>
      </c>
      <c r="F51" s="2">
        <f t="shared" si="9"/>
        <v>-33.935175942884619</v>
      </c>
    </row>
    <row r="52" spans="2:22">
      <c r="B52" s="2">
        <v>5</v>
      </c>
      <c r="C52" s="2">
        <f t="shared" si="6"/>
        <v>3183098.8618379068</v>
      </c>
      <c r="D52" s="2">
        <f t="shared" si="7"/>
        <v>318309.88618379069</v>
      </c>
      <c r="E52" s="2">
        <f t="shared" si="8"/>
        <v>-31.997972614007285</v>
      </c>
      <c r="F52" s="2">
        <f t="shared" si="9"/>
        <v>-31.997972614007285</v>
      </c>
    </row>
    <row r="53" spans="2:22">
      <c r="B53" s="2">
        <v>6</v>
      </c>
      <c r="C53" s="2">
        <f t="shared" si="6"/>
        <v>2652582.3848649221</v>
      </c>
      <c r="D53" s="2">
        <f t="shared" si="7"/>
        <v>265258.23848649225</v>
      </c>
      <c r="E53" s="2">
        <f t="shared" si="8"/>
        <v>-30.415565860019008</v>
      </c>
      <c r="F53" s="2">
        <f t="shared" si="9"/>
        <v>-30.415565860019008</v>
      </c>
    </row>
    <row r="54" spans="2:22">
      <c r="B54" s="2">
        <v>7</v>
      </c>
      <c r="C54" s="2">
        <f t="shared" si="6"/>
        <v>2273642.0441699335</v>
      </c>
      <c r="D54" s="2">
        <f t="shared" si="7"/>
        <v>227364.20441699337</v>
      </c>
      <c r="E54" s="2">
        <f t="shared" si="8"/>
        <v>-29.078069287528319</v>
      </c>
      <c r="F54" s="2">
        <f t="shared" si="9"/>
        <v>-29.078069287528322</v>
      </c>
      <c r="V54" s="2" t="s">
        <v>294</v>
      </c>
    </row>
    <row r="55" spans="2:22">
      <c r="B55" s="2">
        <v>8</v>
      </c>
      <c r="C55" s="2">
        <f t="shared" si="6"/>
        <v>1989436.7886486917</v>
      </c>
      <c r="D55" s="2">
        <f t="shared" si="7"/>
        <v>198943.67886486917</v>
      </c>
      <c r="E55" s="2">
        <f t="shared" si="8"/>
        <v>-27.919890405762121</v>
      </c>
      <c r="F55" s="2">
        <f t="shared" si="9"/>
        <v>-27.919890405762118</v>
      </c>
    </row>
    <row r="56" spans="2:22">
      <c r="B56" s="2">
        <v>9</v>
      </c>
      <c r="C56" s="2">
        <f t="shared" si="6"/>
        <v>1768388.2565766149</v>
      </c>
      <c r="D56" s="2">
        <f t="shared" si="7"/>
        <v>176838.82565766151</v>
      </c>
      <c r="E56" s="2">
        <f t="shared" si="8"/>
        <v>-26.898720603916686</v>
      </c>
      <c r="F56" s="2">
        <f t="shared" si="9"/>
        <v>-26.898720603916686</v>
      </c>
    </row>
    <row r="57" spans="2:22">
      <c r="B57" s="2">
        <v>10</v>
      </c>
      <c r="C57" s="2">
        <f t="shared" si="6"/>
        <v>1591549.4309189534</v>
      </c>
      <c r="D57" s="2">
        <f t="shared" si="7"/>
        <v>159154.94309189534</v>
      </c>
      <c r="E57" s="2">
        <f t="shared" si="8"/>
        <v>-25.985671748033681</v>
      </c>
      <c r="F57" s="2">
        <f t="shared" si="9"/>
        <v>-25.985671748033681</v>
      </c>
    </row>
    <row r="58" spans="2:22">
      <c r="B58" s="2">
        <v>20</v>
      </c>
      <c r="C58" s="2">
        <f t="shared" si="6"/>
        <v>795774.71545947669</v>
      </c>
      <c r="D58" s="2">
        <f t="shared" si="7"/>
        <v>79577.471545947672</v>
      </c>
      <c r="E58" s="2">
        <f t="shared" si="8"/>
        <v>-19.998113426146517</v>
      </c>
      <c r="F58" s="2">
        <f t="shared" si="9"/>
        <v>-19.998113426146517</v>
      </c>
    </row>
    <row r="59" spans="2:22">
      <c r="B59" s="2">
        <v>30</v>
      </c>
      <c r="C59" s="2">
        <f t="shared" si="6"/>
        <v>530516.4769729845</v>
      </c>
      <c r="D59" s="2">
        <f t="shared" si="7"/>
        <v>53051.647697298446</v>
      </c>
      <c r="E59" s="2">
        <f t="shared" si="8"/>
        <v>-16.530815839199025</v>
      </c>
      <c r="F59" s="2">
        <f t="shared" si="9"/>
        <v>-16.530815839199025</v>
      </c>
    </row>
    <row r="60" spans="2:22">
      <c r="B60" s="2">
        <v>40</v>
      </c>
      <c r="C60" s="2">
        <f t="shared" si="6"/>
        <v>397887.35772973835</v>
      </c>
      <c r="D60" s="2">
        <f t="shared" si="7"/>
        <v>39788.735772973836</v>
      </c>
      <c r="E60" s="2">
        <f t="shared" si="8"/>
        <v>-14.107269932957232</v>
      </c>
      <c r="F60" s="2">
        <f t="shared" si="9"/>
        <v>-14.10726993295723</v>
      </c>
    </row>
    <row r="61" spans="2:22">
      <c r="B61" s="2">
        <v>50</v>
      </c>
      <c r="C61" s="2">
        <f t="shared" si="6"/>
        <v>318309.88618379069</v>
      </c>
      <c r="D61" s="2">
        <f t="shared" si="7"/>
        <v>31830.988618379066</v>
      </c>
      <c r="E61" s="2">
        <f t="shared" si="8"/>
        <v>-12.263953803576404</v>
      </c>
      <c r="F61" s="2">
        <f t="shared" si="9"/>
        <v>-12.263953803576404</v>
      </c>
    </row>
    <row r="62" spans="2:22">
      <c r="B62" s="2">
        <v>60</v>
      </c>
      <c r="C62" s="2">
        <f t="shared" si="6"/>
        <v>265258.23848649225</v>
      </c>
      <c r="D62" s="2">
        <f t="shared" si="7"/>
        <v>26525.823848649223</v>
      </c>
      <c r="E62" s="2">
        <f t="shared" si="8"/>
        <v>-10.793607762136858</v>
      </c>
      <c r="F62" s="2">
        <f t="shared" si="9"/>
        <v>-10.793607762136858</v>
      </c>
    </row>
    <row r="63" spans="2:22">
      <c r="B63" s="2">
        <v>70</v>
      </c>
      <c r="C63" s="2">
        <f t="shared" si="6"/>
        <v>227364.20441699337</v>
      </c>
      <c r="D63" s="2">
        <f t="shared" si="7"/>
        <v>22736.420441699334</v>
      </c>
      <c r="E63" s="2">
        <f t="shared" si="8"/>
        <v>-9.5849224833549727</v>
      </c>
      <c r="F63" s="2">
        <f t="shared" si="9"/>
        <v>-9.5849224833549709</v>
      </c>
    </row>
    <row r="64" spans="2:22">
      <c r="B64" s="2">
        <v>80</v>
      </c>
      <c r="C64" s="2">
        <f t="shared" si="6"/>
        <v>198943.67886486917</v>
      </c>
      <c r="D64" s="2">
        <f t="shared" si="7"/>
        <v>19894.367886486918</v>
      </c>
      <c r="E64" s="2">
        <f t="shared" si="8"/>
        <v>-8.5707735257013713</v>
      </c>
      <c r="F64" s="2">
        <f t="shared" si="9"/>
        <v>-8.5707735257013677</v>
      </c>
    </row>
    <row r="65" spans="2:6">
      <c r="B65" s="2">
        <v>90</v>
      </c>
      <c r="C65" s="2">
        <f t="shared" si="6"/>
        <v>176838.82565766151</v>
      </c>
      <c r="D65" s="2">
        <f t="shared" si="7"/>
        <v>17683.882565766147</v>
      </c>
      <c r="E65" s="2">
        <f t="shared" si="8"/>
        <v>-7.7072626255765346</v>
      </c>
      <c r="F65" s="2">
        <f t="shared" si="9"/>
        <v>-7.7072626255765346</v>
      </c>
    </row>
    <row r="66" spans="2:6">
      <c r="B66" s="2">
        <v>100</v>
      </c>
      <c r="C66" s="2">
        <f t="shared" si="6"/>
        <v>159154.94309189534</v>
      </c>
      <c r="D66" s="2">
        <f t="shared" si="7"/>
        <v>15915.494309189533</v>
      </c>
      <c r="E66" s="2">
        <f t="shared" si="8"/>
        <v>-6.963900609578987</v>
      </c>
      <c r="F66" s="2">
        <f t="shared" si="9"/>
        <v>-6.963900609578987</v>
      </c>
    </row>
    <row r="67" spans="2:6">
      <c r="B67" s="2">
        <v>200</v>
      </c>
      <c r="C67" s="2">
        <f t="shared" si="6"/>
        <v>79577.471545947672</v>
      </c>
      <c r="D67" s="2">
        <f t="shared" si="7"/>
        <v>7957.7471545947665</v>
      </c>
      <c r="E67" s="2">
        <f t="shared" si="8"/>
        <v>-3.0310338916776187</v>
      </c>
      <c r="F67" s="2">
        <f t="shared" si="9"/>
        <v>-3.0310338916776169</v>
      </c>
    </row>
    <row r="68" spans="2:6">
      <c r="B68" s="2">
        <v>300</v>
      </c>
      <c r="C68" s="2">
        <f t="shared" si="6"/>
        <v>53051.647697298446</v>
      </c>
      <c r="D68" s="2">
        <f t="shared" si="7"/>
        <v>5305.1647697298449</v>
      </c>
      <c r="E68" s="2">
        <f t="shared" si="8"/>
        <v>-1.6805579019933692</v>
      </c>
      <c r="F68" s="2">
        <f t="shared" si="9"/>
        <v>-1.6805579019933692</v>
      </c>
    </row>
    <row r="69" spans="2:6">
      <c r="B69" s="2">
        <v>400</v>
      </c>
      <c r="C69" s="2">
        <f t="shared" si="6"/>
        <v>39788.735772973836</v>
      </c>
      <c r="D69" s="2">
        <f t="shared" si="7"/>
        <v>3978.8735772973832</v>
      </c>
      <c r="E69" s="2">
        <f t="shared" si="8"/>
        <v>-1.1320511633780921</v>
      </c>
      <c r="F69" s="2">
        <f t="shared" si="9"/>
        <v>-1.1320511633780932</v>
      </c>
    </row>
    <row r="70" spans="2:6">
      <c r="B70" s="2">
        <v>500</v>
      </c>
      <c r="C70" s="2">
        <f t="shared" si="6"/>
        <v>31830.988618379073</v>
      </c>
      <c r="D70" s="2">
        <f t="shared" si="7"/>
        <v>3183.098861837907</v>
      </c>
      <c r="E70" s="2">
        <f t="shared" si="8"/>
        <v>-0.90427298697860647</v>
      </c>
      <c r="F70" s="2">
        <f t="shared" si="9"/>
        <v>-0.90427298697860869</v>
      </c>
    </row>
    <row r="71" spans="2:6">
      <c r="B71" s="2">
        <v>600</v>
      </c>
      <c r="C71" s="2">
        <f t="shared" si="6"/>
        <v>26525.823848649223</v>
      </c>
      <c r="D71" s="2">
        <f t="shared" si="7"/>
        <v>2652.5823848649225</v>
      </c>
      <c r="E71" s="2">
        <f t="shared" si="8"/>
        <v>-0.83107846874675162</v>
      </c>
      <c r="F71" s="2">
        <f t="shared" si="9"/>
        <v>-0.83107846874675162</v>
      </c>
    </row>
    <row r="72" spans="2:6">
      <c r="B72" s="2">
        <v>700</v>
      </c>
      <c r="C72" s="2">
        <f t="shared" si="6"/>
        <v>22736.420441699334</v>
      </c>
      <c r="D72" s="2">
        <f t="shared" si="7"/>
        <v>2273.6420441699333</v>
      </c>
      <c r="E72" s="2">
        <f t="shared" si="8"/>
        <v>-0.84425033077178036</v>
      </c>
      <c r="F72" s="2">
        <f t="shared" si="9"/>
        <v>-0.84425033077178036</v>
      </c>
    </row>
    <row r="73" spans="2:6">
      <c r="B73" s="2">
        <v>800</v>
      </c>
      <c r="C73" s="2">
        <f t="shared" si="6"/>
        <v>19894.367886486918</v>
      </c>
      <c r="D73" s="2">
        <f t="shared" si="7"/>
        <v>1989.4367886486916</v>
      </c>
      <c r="E73" s="2">
        <f t="shared" si="8"/>
        <v>-0.91155047008158085</v>
      </c>
      <c r="F73" s="2">
        <f t="shared" si="9"/>
        <v>-0.91155047008158296</v>
      </c>
    </row>
    <row r="74" spans="2:6">
      <c r="B74" s="2">
        <v>900</v>
      </c>
      <c r="C74" s="2">
        <f t="shared" si="6"/>
        <v>17683.882565766151</v>
      </c>
      <c r="D74" s="2">
        <f t="shared" si="7"/>
        <v>1768.388256576615</v>
      </c>
      <c r="E74" s="2">
        <f t="shared" si="8"/>
        <v>-1.0158162928687582</v>
      </c>
      <c r="F74" s="2">
        <f t="shared" si="9"/>
        <v>-1.0158162928687582</v>
      </c>
    </row>
    <row r="75" spans="2:6">
      <c r="B75" s="2">
        <v>1000</v>
      </c>
      <c r="C75" s="2">
        <f t="shared" si="6"/>
        <v>15915.494309189537</v>
      </c>
      <c r="D75" s="2">
        <f t="shared" si="7"/>
        <v>1591.5494309189535</v>
      </c>
      <c r="E75" s="2">
        <f t="shared" si="8"/>
        <v>-1.1469118455564911</v>
      </c>
      <c r="F75" s="2">
        <f t="shared" si="9"/>
        <v>-1.1469118455564922</v>
      </c>
    </row>
    <row r="76" spans="2:6">
      <c r="B76" s="2">
        <v>2000</v>
      </c>
      <c r="C76" s="2">
        <f t="shared" si="6"/>
        <v>7957.7471545947683</v>
      </c>
      <c r="D76" s="2">
        <f t="shared" si="7"/>
        <v>795.77471545947674</v>
      </c>
      <c r="E76" s="2">
        <f t="shared" si="8"/>
        <v>-3.0761200633474663</v>
      </c>
      <c r="F76" s="2">
        <f t="shared" si="9"/>
        <v>-3.0761200633474663</v>
      </c>
    </row>
    <row r="77" spans="2:6">
      <c r="B77" s="2">
        <v>3000</v>
      </c>
      <c r="C77" s="2">
        <f t="shared" si="6"/>
        <v>5305.1647697298449</v>
      </c>
      <c r="D77" s="2">
        <f t="shared" si="7"/>
        <v>530.51647697298449</v>
      </c>
      <c r="E77" s="2">
        <f t="shared" si="8"/>
        <v>-5.1697862704451421</v>
      </c>
      <c r="F77" s="2">
        <f t="shared" si="9"/>
        <v>-5.1697862704451421</v>
      </c>
    </row>
    <row r="78" spans="2:6">
      <c r="B78" s="2">
        <v>4000</v>
      </c>
      <c r="C78" s="2">
        <f t="shared" si="6"/>
        <v>3978.8735772973841</v>
      </c>
      <c r="D78" s="2">
        <f t="shared" si="7"/>
        <v>397.88735772973837</v>
      </c>
      <c r="E78" s="2">
        <f t="shared" si="8"/>
        <v>-7.0372662610907728</v>
      </c>
      <c r="F78" s="2">
        <f t="shared" si="9"/>
        <v>-7.0372662610907728</v>
      </c>
    </row>
    <row r="79" spans="2:6">
      <c r="B79" s="2">
        <v>5000</v>
      </c>
      <c r="C79" s="2">
        <f t="shared" si="6"/>
        <v>3183.098861837907</v>
      </c>
      <c r="D79" s="2">
        <f t="shared" si="7"/>
        <v>318.30988618379064</v>
      </c>
      <c r="E79" s="2">
        <f t="shared" si="8"/>
        <v>-8.6499316269221751</v>
      </c>
      <c r="F79" s="2">
        <f t="shared" si="9"/>
        <v>-8.6499316269221751</v>
      </c>
    </row>
    <row r="80" spans="2:6">
      <c r="B80" s="2">
        <v>6000</v>
      </c>
      <c r="C80" s="2">
        <f t="shared" si="6"/>
        <v>2652.5823848649225</v>
      </c>
      <c r="D80" s="2">
        <f t="shared" si="7"/>
        <v>265.25823848649225</v>
      </c>
      <c r="E80" s="2">
        <f t="shared" si="8"/>
        <v>-10.046191212223947</v>
      </c>
      <c r="F80" s="2">
        <f t="shared" si="9"/>
        <v>-10.046191212223947</v>
      </c>
    </row>
    <row r="81" spans="2:6">
      <c r="B81" s="2">
        <v>7000</v>
      </c>
      <c r="C81" s="2">
        <f t="shared" si="6"/>
        <v>2273.6420441699333</v>
      </c>
      <c r="D81" s="2">
        <f t="shared" si="7"/>
        <v>227.36420441699337</v>
      </c>
      <c r="E81" s="2">
        <f t="shared" si="8"/>
        <v>-11.268207769709962</v>
      </c>
      <c r="F81" s="2">
        <f t="shared" si="9"/>
        <v>-11.268207769709967</v>
      </c>
    </row>
    <row r="82" spans="2:6">
      <c r="B82" s="2">
        <v>8000</v>
      </c>
      <c r="C82" s="2">
        <f t="shared" si="6"/>
        <v>1989.4367886486921</v>
      </c>
      <c r="D82" s="2">
        <f t="shared" si="7"/>
        <v>198.94367886486918</v>
      </c>
      <c r="E82" s="2">
        <f t="shared" si="8"/>
        <v>-12.350478884535951</v>
      </c>
      <c r="F82" s="2">
        <f t="shared" si="9"/>
        <v>-12.350478884535953</v>
      </c>
    </row>
    <row r="83" spans="2:6">
      <c r="B83" s="2">
        <v>9000</v>
      </c>
      <c r="C83" s="2">
        <f t="shared" si="6"/>
        <v>1768.388256576615</v>
      </c>
      <c r="D83" s="2">
        <f t="shared" si="7"/>
        <v>176.83882565766146</v>
      </c>
      <c r="E83" s="2">
        <f t="shared" si="8"/>
        <v>-13.319554237999156</v>
      </c>
      <c r="F83" s="2">
        <f t="shared" si="9"/>
        <v>-13.319554237999153</v>
      </c>
    </row>
    <row r="84" spans="2:6">
      <c r="B84" s="2">
        <v>10000</v>
      </c>
      <c r="C84" s="2">
        <f t="shared" si="6"/>
        <v>1591.5494309189535</v>
      </c>
      <c r="D84" s="2">
        <f t="shared" si="7"/>
        <v>159.15494309189532</v>
      </c>
      <c r="E84" s="2">
        <f t="shared" si="8"/>
        <v>-14.195688898886944</v>
      </c>
      <c r="F84" s="2">
        <f t="shared" si="9"/>
        <v>-14.195688898886944</v>
      </c>
    </row>
    <row r="85" spans="2:6">
      <c r="B85" s="2">
        <v>20000</v>
      </c>
      <c r="C85" s="2">
        <f t="shared" si="6"/>
        <v>795.77471545947674</v>
      </c>
      <c r="D85" s="2">
        <f t="shared" si="7"/>
        <v>79.57747154594766</v>
      </c>
      <c r="E85" s="2">
        <f t="shared" si="8"/>
        <v>-20.089187419441036</v>
      </c>
      <c r="F85" s="2">
        <f t="shared" si="9"/>
        <v>-20.089187419441036</v>
      </c>
    </row>
    <row r="86" spans="2:6">
      <c r="B86" s="2">
        <v>30000</v>
      </c>
      <c r="C86" s="2">
        <f t="shared" si="6"/>
        <v>530.51647697298449</v>
      </c>
      <c r="D86" s="2">
        <f t="shared" si="7"/>
        <v>53.051647697298449</v>
      </c>
      <c r="E86" s="2">
        <f t="shared" si="8"/>
        <v>-23.587069936444813</v>
      </c>
      <c r="F86" s="2">
        <f t="shared" si="9"/>
        <v>-23.587069936444813</v>
      </c>
    </row>
    <row r="87" spans="2:6">
      <c r="B87" s="2">
        <v>40000</v>
      </c>
      <c r="C87" s="2">
        <f t="shared" si="6"/>
        <v>397.88735772973837</v>
      </c>
      <c r="D87" s="2">
        <f t="shared" si="7"/>
        <v>39.78873577297383</v>
      </c>
      <c r="E87" s="2">
        <f t="shared" si="8"/>
        <v>-26.077434072929311</v>
      </c>
      <c r="F87" s="2">
        <f t="shared" si="9"/>
        <v>-26.077434072929311</v>
      </c>
    </row>
    <row r="88" spans="2:6">
      <c r="B88" s="2">
        <v>50000</v>
      </c>
      <c r="C88" s="2">
        <f t="shared" si="6"/>
        <v>318.3098861837907</v>
      </c>
      <c r="D88" s="2">
        <f t="shared" si="7"/>
        <v>31.830988618379067</v>
      </c>
      <c r="E88" s="2">
        <f t="shared" si="8"/>
        <v>-28.011736016344454</v>
      </c>
      <c r="F88" s="2">
        <f t="shared" si="9"/>
        <v>-28.011736016344454</v>
      </c>
    </row>
    <row r="89" spans="2:6">
      <c r="B89" s="2">
        <v>60000</v>
      </c>
      <c r="C89" s="2">
        <f t="shared" si="6"/>
        <v>265.25823848649225</v>
      </c>
      <c r="D89" s="2">
        <f t="shared" si="7"/>
        <v>26.525823848649225</v>
      </c>
      <c r="E89" s="2">
        <f t="shared" si="8"/>
        <v>-29.59324189439085</v>
      </c>
      <c r="F89" s="2">
        <f t="shared" si="9"/>
        <v>-29.59324189439085</v>
      </c>
    </row>
    <row r="90" spans="2:6">
      <c r="B90" s="2">
        <v>70000</v>
      </c>
      <c r="C90" s="2">
        <f t="shared" si="6"/>
        <v>227.36420441699337</v>
      </c>
      <c r="D90" s="2">
        <f t="shared" si="7"/>
        <v>22.736420441699334</v>
      </c>
      <c r="E90" s="2">
        <f t="shared" si="8"/>
        <v>-30.930899480928616</v>
      </c>
      <c r="F90" s="2">
        <f t="shared" si="9"/>
        <v>-30.930899480928616</v>
      </c>
    </row>
    <row r="91" spans="2:6">
      <c r="B91" s="2">
        <v>80000</v>
      </c>
      <c r="C91" s="2">
        <f t="shared" si="6"/>
        <v>198.94367886486918</v>
      </c>
      <c r="D91" s="2">
        <f t="shared" si="7"/>
        <v>19.894367886486915</v>
      </c>
      <c r="E91" s="2">
        <f t="shared" si="8"/>
        <v>-32.089908618164088</v>
      </c>
      <c r="F91" s="2">
        <f t="shared" si="9"/>
        <v>-32.089908618164088</v>
      </c>
    </row>
    <row r="92" spans="2:6">
      <c r="B92" s="2">
        <v>90000</v>
      </c>
      <c r="C92" s="2">
        <f t="shared" si="6"/>
        <v>176.83882565766146</v>
      </c>
      <c r="D92" s="2">
        <f t="shared" si="7"/>
        <v>17.683882565766147</v>
      </c>
      <c r="E92" s="2">
        <f t="shared" si="8"/>
        <v>-33.112390067545093</v>
      </c>
      <c r="F92" s="2">
        <f t="shared" si="9"/>
        <v>-33.112390067545093</v>
      </c>
    </row>
    <row r="93" spans="2:6">
      <c r="B93" s="2">
        <v>100000</v>
      </c>
      <c r="C93" s="2">
        <f t="shared" si="6"/>
        <v>159.15494309189535</v>
      </c>
      <c r="D93" s="2">
        <f t="shared" si="7"/>
        <v>15.915494309189533</v>
      </c>
      <c r="E93" s="2">
        <f t="shared" si="8"/>
        <v>-34.027132831874724</v>
      </c>
      <c r="F93" s="2">
        <f t="shared" si="9"/>
        <v>-34.027132831874724</v>
      </c>
    </row>
    <row r="94" spans="2:6">
      <c r="B94" s="2">
        <v>200000</v>
      </c>
      <c r="C94" s="2">
        <f t="shared" si="6"/>
        <v>79.577471545947674</v>
      </c>
      <c r="D94" s="2">
        <f t="shared" si="7"/>
        <v>7.9577471545947667</v>
      </c>
      <c r="E94" s="2">
        <f t="shared" si="8"/>
        <v>-40.046431015263302</v>
      </c>
      <c r="F94" s="2">
        <f t="shared" si="9"/>
        <v>-40.046431015263309</v>
      </c>
    </row>
    <row r="95" spans="2:6">
      <c r="B95" s="2">
        <v>300000</v>
      </c>
      <c r="C95" s="2">
        <f t="shared" si="6"/>
        <v>53.051647697298449</v>
      </c>
      <c r="D95" s="2">
        <f t="shared" si="7"/>
        <v>5.3051647697298447</v>
      </c>
      <c r="E95" s="2">
        <f t="shared" si="8"/>
        <v>-43.56801509330262</v>
      </c>
      <c r="F95" s="2">
        <f t="shared" si="9"/>
        <v>-43.56801509330262</v>
      </c>
    </row>
    <row r="96" spans="2:6">
      <c r="B96" s="2">
        <v>400000</v>
      </c>
      <c r="C96" s="2">
        <f t="shared" si="6"/>
        <v>39.788735772973837</v>
      </c>
      <c r="D96" s="2">
        <f t="shared" si="7"/>
        <v>3.9788735772973833</v>
      </c>
      <c r="E96" s="2">
        <f t="shared" si="8"/>
        <v>-46.066705436292288</v>
      </c>
      <c r="F96" s="2">
        <f t="shared" si="9"/>
        <v>-46.066705436292288</v>
      </c>
    </row>
    <row r="97" spans="2:6">
      <c r="B97" s="2">
        <v>500000</v>
      </c>
      <c r="C97" s="2">
        <f t="shared" si="6"/>
        <v>31.830988618379067</v>
      </c>
      <c r="D97" s="2">
        <f t="shared" si="7"/>
        <v>3.1830988618379075</v>
      </c>
      <c r="E97" s="2">
        <f t="shared" si="8"/>
        <v>-48.004866635776111</v>
      </c>
      <c r="F97" s="2">
        <f t="shared" si="9"/>
        <v>-48.004866635776111</v>
      </c>
    </row>
    <row r="98" spans="2:6">
      <c r="B98" s="2">
        <v>600000</v>
      </c>
      <c r="C98" s="2">
        <f t="shared" si="6"/>
        <v>26.525823848649225</v>
      </c>
      <c r="D98" s="2">
        <f t="shared" si="7"/>
        <v>2.6525823848649224</v>
      </c>
      <c r="E98" s="2">
        <f t="shared" si="8"/>
        <v>-49.588470338438533</v>
      </c>
      <c r="F98" s="2">
        <f t="shared" si="9"/>
        <v>-49.588470338438533</v>
      </c>
    </row>
    <row r="99" spans="2:6">
      <c r="B99" s="2">
        <v>700000</v>
      </c>
      <c r="C99" s="2">
        <f t="shared" si="6"/>
        <v>22.736420441699334</v>
      </c>
      <c r="D99" s="2">
        <f t="shared" si="7"/>
        <v>2.2736420441699337</v>
      </c>
      <c r="E99" s="2">
        <f t="shared" si="8"/>
        <v>-50.927393337041991</v>
      </c>
      <c r="F99" s="2">
        <f t="shared" si="9"/>
        <v>-50.927393337042005</v>
      </c>
    </row>
    <row r="100" spans="2:6">
      <c r="B100" s="2">
        <v>800000</v>
      </c>
      <c r="C100" s="2">
        <f t="shared" si="6"/>
        <v>19.894367886486918</v>
      </c>
      <c r="D100" s="2">
        <f t="shared" si="7"/>
        <v>1.9894367886486917</v>
      </c>
      <c r="E100" s="2">
        <f t="shared" si="8"/>
        <v>-52.087223972772165</v>
      </c>
      <c r="F100" s="2">
        <f t="shared" si="9"/>
        <v>-52.087223972772172</v>
      </c>
    </row>
    <row r="101" spans="2:6">
      <c r="B101" s="2">
        <v>900000</v>
      </c>
      <c r="C101" s="2">
        <f t="shared" si="6"/>
        <v>17.683882565766151</v>
      </c>
      <c r="D101" s="2">
        <f t="shared" si="7"/>
        <v>1.7683882565766149</v>
      </c>
      <c r="E101" s="2">
        <f t="shared" si="8"/>
        <v>-53.110268728636704</v>
      </c>
      <c r="F101" s="2">
        <f t="shared" si="9"/>
        <v>-53.110268728636704</v>
      </c>
    </row>
    <row r="102" spans="2:6">
      <c r="B102" s="2">
        <v>1000000</v>
      </c>
      <c r="C102" s="2">
        <f t="shared" si="6"/>
        <v>15.915494309189533</v>
      </c>
      <c r="D102" s="2">
        <f t="shared" si="7"/>
        <v>1.5915494309189537</v>
      </c>
      <c r="E102" s="2">
        <f t="shared" si="8"/>
        <v>-54.025414467616869</v>
      </c>
      <c r="F102" s="2">
        <f t="shared" si="9"/>
        <v>-54.025414467616869</v>
      </c>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DBF719-CD06-4062-A6EA-EC7B0C952A6B}">
  <sheetPr codeName="Sheet4"/>
  <dimension ref="B1:J35"/>
  <sheetViews>
    <sheetView zoomScale="85" zoomScaleNormal="85"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41</v>
      </c>
    </row>
    <row r="2" spans="2:9" ht="15.75" thickBot="1">
      <c r="B2" s="2" t="s">
        <v>42</v>
      </c>
      <c r="G2" s="6" t="s">
        <v>36</v>
      </c>
    </row>
    <row r="3" spans="2:9" ht="15.75" thickBot="1">
      <c r="B3" s="2" t="s">
        <v>12</v>
      </c>
      <c r="C3" s="4">
        <v>1</v>
      </c>
      <c r="D3" s="2" t="s">
        <v>16</v>
      </c>
      <c r="G3" s="2" t="s">
        <v>9</v>
      </c>
      <c r="H3" s="4">
        <v>12</v>
      </c>
      <c r="I3" s="2" t="s">
        <v>18</v>
      </c>
    </row>
    <row r="4" spans="2:9" ht="15.75" thickBot="1">
      <c r="B4" s="2" t="s">
        <v>15</v>
      </c>
      <c r="C4" s="4">
        <v>5</v>
      </c>
      <c r="D4" s="2" t="s">
        <v>16</v>
      </c>
      <c r="G4" s="2" t="s">
        <v>10</v>
      </c>
      <c r="H4" s="5">
        <v>-12</v>
      </c>
      <c r="I4" s="2" t="s">
        <v>19</v>
      </c>
    </row>
    <row r="5" spans="2:9" ht="15.75" thickBot="1">
      <c r="B5" s="2" t="s">
        <v>0</v>
      </c>
      <c r="C5" s="3">
        <v>0</v>
      </c>
      <c r="D5" s="2" t="s">
        <v>17</v>
      </c>
      <c r="G5" s="2" t="s">
        <v>31</v>
      </c>
      <c r="H5" s="4">
        <v>1</v>
      </c>
      <c r="I5" s="2" t="s">
        <v>32</v>
      </c>
    </row>
    <row r="6" spans="2:9" ht="15.75" thickBot="1">
      <c r="B6" s="2" t="s">
        <v>1</v>
      </c>
      <c r="C6" s="3">
        <f>-C4/C3</f>
        <v>-5</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3</v>
      </c>
      <c r="I9" s="2" t="s">
        <v>17</v>
      </c>
    </row>
    <row r="10" spans="2:9">
      <c r="B10" s="2">
        <v>0</v>
      </c>
      <c r="C10" s="2">
        <f t="shared" ref="C10:C35" si="0">$C$7*SIN($B10)</f>
        <v>0</v>
      </c>
      <c r="D10" s="2">
        <f>$C$6*C10</f>
        <v>0</v>
      </c>
      <c r="E10" s="2">
        <f t="shared" ref="E10:E35" si="1">IF(D10&gt;($H$3-$H$5),($H$3-$H$5),IF(D10&lt;($H$4+$H$5),($H$4+$H$5),D10))</f>
        <v>0</v>
      </c>
      <c r="G10" s="6" t="s">
        <v>34</v>
      </c>
      <c r="H10" s="3">
        <f>IF(H9*C6&gt;($H$3-$H$5),($H$3-$H$5),IF(H9*C6&lt;($H$4+$H$5),($H$4+$H$5),H9*C6))</f>
        <v>-11</v>
      </c>
      <c r="I10" s="2" t="s">
        <v>17</v>
      </c>
    </row>
    <row r="11" spans="2:9">
      <c r="B11" s="2">
        <v>0.1</v>
      </c>
      <c r="C11" s="2">
        <f t="shared" si="0"/>
        <v>9.9833416646828155E-2</v>
      </c>
      <c r="D11" s="2">
        <f t="shared" ref="D11:D35" si="2">$C$6*C11</f>
        <v>-0.49916708323414077</v>
      </c>
      <c r="E11" s="2">
        <f t="shared" si="1"/>
        <v>-0.49916708323414077</v>
      </c>
    </row>
    <row r="12" spans="2:9">
      <c r="B12" s="2">
        <v>0.2</v>
      </c>
      <c r="C12" s="2">
        <f t="shared" si="0"/>
        <v>0.19866933079506122</v>
      </c>
      <c r="D12" s="2">
        <f t="shared" si="2"/>
        <v>-0.99334665397530608</v>
      </c>
      <c r="E12" s="2">
        <f t="shared" si="1"/>
        <v>-0.99334665397530608</v>
      </c>
    </row>
    <row r="13" spans="2:9">
      <c r="B13" s="2">
        <v>1.2</v>
      </c>
      <c r="C13" s="2">
        <f t="shared" si="0"/>
        <v>0.93203908596722629</v>
      </c>
      <c r="D13" s="2">
        <f t="shared" si="2"/>
        <v>-4.660195429836131</v>
      </c>
      <c r="E13" s="2">
        <f t="shared" si="1"/>
        <v>-4.660195429836131</v>
      </c>
    </row>
    <row r="14" spans="2:9">
      <c r="B14" s="2">
        <v>2.2000000000000002</v>
      </c>
      <c r="C14" s="2">
        <f t="shared" si="0"/>
        <v>0.80849640381959009</v>
      </c>
      <c r="D14" s="2">
        <f t="shared" si="2"/>
        <v>-4.0424820190979505</v>
      </c>
      <c r="E14" s="2">
        <f t="shared" si="1"/>
        <v>-4.0424820190979505</v>
      </c>
    </row>
    <row r="15" spans="2:9">
      <c r="B15" s="2">
        <v>3.2</v>
      </c>
      <c r="C15" s="2">
        <f t="shared" si="0"/>
        <v>-5.8374143427580086E-2</v>
      </c>
      <c r="D15" s="2">
        <f t="shared" si="2"/>
        <v>0.29187071713790042</v>
      </c>
      <c r="E15" s="2">
        <f t="shared" si="1"/>
        <v>0.29187071713790042</v>
      </c>
    </row>
    <row r="16" spans="2:9">
      <c r="B16" s="2">
        <v>4.2</v>
      </c>
      <c r="C16" s="2">
        <f t="shared" si="0"/>
        <v>-0.87157577241358819</v>
      </c>
      <c r="D16" s="2">
        <f t="shared" si="2"/>
        <v>4.357878862067941</v>
      </c>
      <c r="E16" s="2">
        <f t="shared" si="1"/>
        <v>4.357878862067941</v>
      </c>
    </row>
    <row r="17" spans="2:10">
      <c r="B17" s="2">
        <v>5.2</v>
      </c>
      <c r="C17" s="2">
        <f t="shared" si="0"/>
        <v>-0.88345465572015314</v>
      </c>
      <c r="D17" s="2">
        <f t="shared" si="2"/>
        <v>4.4172732786007654</v>
      </c>
      <c r="E17" s="2">
        <f t="shared" si="1"/>
        <v>4.4172732786007654</v>
      </c>
    </row>
    <row r="18" spans="2:10">
      <c r="B18" s="2">
        <v>6.2</v>
      </c>
      <c r="C18" s="2">
        <f t="shared" si="0"/>
        <v>-8.3089402817496397E-2</v>
      </c>
      <c r="D18" s="2">
        <f t="shared" si="2"/>
        <v>0.41544701408748197</v>
      </c>
      <c r="E18" s="2">
        <f t="shared" si="1"/>
        <v>0.41544701408748197</v>
      </c>
    </row>
    <row r="19" spans="2:10">
      <c r="B19" s="2">
        <v>7.2</v>
      </c>
      <c r="C19" s="2">
        <f t="shared" si="0"/>
        <v>0.79366786384915311</v>
      </c>
      <c r="D19" s="2">
        <f t="shared" si="2"/>
        <v>-3.9683393192457657</v>
      </c>
      <c r="E19" s="2">
        <f t="shared" si="1"/>
        <v>-3.9683393192457657</v>
      </c>
    </row>
    <row r="20" spans="2:10">
      <c r="B20" s="2">
        <v>8.1999999999999993</v>
      </c>
      <c r="C20" s="2">
        <f t="shared" si="0"/>
        <v>0.94073055667977312</v>
      </c>
      <c r="D20" s="2">
        <f t="shared" si="2"/>
        <v>-4.7036527833988657</v>
      </c>
      <c r="E20" s="2">
        <f t="shared" si="1"/>
        <v>-4.7036527833988657</v>
      </c>
    </row>
    <row r="21" spans="2:10">
      <c r="B21" s="2">
        <v>9.1999999999999993</v>
      </c>
      <c r="C21" s="2">
        <f t="shared" si="0"/>
        <v>0.22288991410024764</v>
      </c>
      <c r="D21" s="2">
        <f t="shared" si="2"/>
        <v>-1.1144495705012383</v>
      </c>
      <c r="E21" s="2">
        <f t="shared" si="1"/>
        <v>-1.1144495705012383</v>
      </c>
    </row>
    <row r="22" spans="2:10">
      <c r="B22" s="2">
        <v>10.199999999999999</v>
      </c>
      <c r="C22" s="2">
        <f t="shared" si="0"/>
        <v>-0.69987468759354232</v>
      </c>
      <c r="D22" s="2">
        <f t="shared" si="2"/>
        <v>3.4993734379677117</v>
      </c>
      <c r="E22" s="2">
        <f t="shared" si="1"/>
        <v>3.4993734379677117</v>
      </c>
    </row>
    <row r="23" spans="2:10">
      <c r="B23" s="2">
        <v>11.2</v>
      </c>
      <c r="C23" s="2">
        <f t="shared" si="0"/>
        <v>-0.9791777291513174</v>
      </c>
      <c r="D23" s="2">
        <f t="shared" si="2"/>
        <v>4.8958886457565871</v>
      </c>
      <c r="E23" s="2">
        <f t="shared" si="1"/>
        <v>4.8958886457565871</v>
      </c>
    </row>
    <row r="24" spans="2:10">
      <c r="B24" s="2">
        <v>12.2</v>
      </c>
      <c r="C24" s="2">
        <f t="shared" si="0"/>
        <v>-0.35822928223682871</v>
      </c>
      <c r="D24" s="2">
        <f t="shared" si="2"/>
        <v>1.7911464111841435</v>
      </c>
      <c r="E24" s="2">
        <f t="shared" si="1"/>
        <v>1.7911464111841435</v>
      </c>
    </row>
    <row r="25" spans="2:10">
      <c r="B25" s="2">
        <v>13.2</v>
      </c>
      <c r="C25" s="2">
        <f t="shared" si="0"/>
        <v>0.59207351470722303</v>
      </c>
      <c r="D25" s="2">
        <f t="shared" si="2"/>
        <v>-2.9603675735361152</v>
      </c>
      <c r="E25" s="2">
        <f t="shared" si="1"/>
        <v>-2.9603675735361152</v>
      </c>
    </row>
    <row r="26" spans="2:10">
      <c r="B26" s="2">
        <v>14.2</v>
      </c>
      <c r="C26" s="2">
        <f t="shared" si="0"/>
        <v>0.99802665271636171</v>
      </c>
      <c r="D26" s="2">
        <f t="shared" si="2"/>
        <v>-4.990133263581809</v>
      </c>
      <c r="E26" s="2">
        <f t="shared" si="1"/>
        <v>-4.990133263581809</v>
      </c>
    </row>
    <row r="27" spans="2:10">
      <c r="B27" s="2">
        <v>15.2</v>
      </c>
      <c r="C27" s="2">
        <f t="shared" si="0"/>
        <v>0.48639868885379967</v>
      </c>
      <c r="D27" s="2">
        <f t="shared" si="2"/>
        <v>-2.4319934442689983</v>
      </c>
      <c r="E27" s="2">
        <f t="shared" si="1"/>
        <v>-2.4319934442689983</v>
      </c>
    </row>
    <row r="28" spans="2:10">
      <c r="B28" s="2">
        <v>16.2</v>
      </c>
      <c r="C28" s="2">
        <f t="shared" si="0"/>
        <v>-0.47242198639846616</v>
      </c>
      <c r="D28" s="2">
        <f t="shared" si="2"/>
        <v>2.3621099319923307</v>
      </c>
      <c r="E28" s="2">
        <f t="shared" si="1"/>
        <v>2.3621099319923307</v>
      </c>
    </row>
    <row r="29" spans="2:10">
      <c r="B29" s="2">
        <v>17.2</v>
      </c>
      <c r="C29" s="2">
        <f t="shared" si="0"/>
        <v>-0.99690006604159609</v>
      </c>
      <c r="D29" s="2">
        <f t="shared" si="2"/>
        <v>4.9845003302079807</v>
      </c>
      <c r="E29" s="2">
        <f t="shared" si="1"/>
        <v>4.9845003302079807</v>
      </c>
      <c r="G29" s="6" t="s">
        <v>65</v>
      </c>
    </row>
    <row r="30" spans="2:10">
      <c r="B30" s="2">
        <v>18.2</v>
      </c>
      <c r="C30" s="2">
        <f t="shared" si="0"/>
        <v>-0.60483282240628411</v>
      </c>
      <c r="D30" s="2">
        <f t="shared" si="2"/>
        <v>3.0241641120314204</v>
      </c>
      <c r="E30" s="2">
        <f t="shared" si="1"/>
        <v>3.0241641120314204</v>
      </c>
      <c r="G30" s="12" t="s">
        <v>64</v>
      </c>
      <c r="H30" s="12">
        <f>H3</f>
        <v>12</v>
      </c>
      <c r="I30" s="12" t="s">
        <v>17</v>
      </c>
      <c r="J30" s="13" t="str">
        <f>TRIM(G30)&amp;"   "&amp;IF(H30&gt;0,"+","")&amp;TRIM(H30)&amp;" "&amp;TRIM(I30)</f>
        <v>V+:   +12 V</v>
      </c>
    </row>
    <row r="31" spans="2:10">
      <c r="B31" s="2">
        <v>19.2</v>
      </c>
      <c r="C31" s="2">
        <f t="shared" si="0"/>
        <v>0.34331492881989539</v>
      </c>
      <c r="D31" s="2">
        <f t="shared" si="2"/>
        <v>-1.7165746440994769</v>
      </c>
      <c r="E31" s="2">
        <f t="shared" si="1"/>
        <v>-1.7165746440994769</v>
      </c>
      <c r="G31" s="12" t="s">
        <v>66</v>
      </c>
      <c r="H31" s="12">
        <f>H4</f>
        <v>-12</v>
      </c>
      <c r="I31" s="12" t="s">
        <v>17</v>
      </c>
      <c r="J31" s="13" t="str">
        <f t="shared" ref="J31:J32" si="3">TRIM(G31)&amp;"   "&amp;IF(H31&gt;0,"+","")&amp;TRIM(H31)&amp;" "&amp;TRIM(I31)</f>
        <v>V-:   -12 V</v>
      </c>
    </row>
    <row r="32" spans="2:10">
      <c r="B32" s="2">
        <v>20.2</v>
      </c>
      <c r="C32" s="2">
        <f t="shared" si="0"/>
        <v>0.97582051776697554</v>
      </c>
      <c r="D32" s="2">
        <f t="shared" si="2"/>
        <v>-4.8791025888348774</v>
      </c>
      <c r="E32" s="2">
        <f t="shared" si="1"/>
        <v>-4.8791025888348774</v>
      </c>
      <c r="G32" s="12" t="s">
        <v>29</v>
      </c>
      <c r="H32" s="12">
        <f>H9</f>
        <v>3</v>
      </c>
      <c r="I32" s="12" t="s">
        <v>17</v>
      </c>
      <c r="J32" s="13" t="str">
        <f t="shared" si="3"/>
        <v>Vin:   +3 V</v>
      </c>
    </row>
    <row r="33" spans="2:10">
      <c r="B33" s="2">
        <v>21.2</v>
      </c>
      <c r="C33" s="2">
        <f t="shared" si="0"/>
        <v>0.71116122290598238</v>
      </c>
      <c r="D33" s="2">
        <f t="shared" si="2"/>
        <v>-3.5558061145299118</v>
      </c>
      <c r="E33" s="2">
        <f t="shared" si="1"/>
        <v>-3.5558061145299118</v>
      </c>
      <c r="G33" s="12" t="s">
        <v>67</v>
      </c>
      <c r="H33" s="12">
        <f>C3</f>
        <v>1</v>
      </c>
      <c r="I33" s="12" t="s">
        <v>16</v>
      </c>
      <c r="J33" s="13" t="str">
        <f>TRIM(G33)&amp;"   "&amp;TRIM(H33)&amp;" "&amp;TRIM(I33)</f>
        <v>R1:   1 K</v>
      </c>
    </row>
    <row r="34" spans="2:10">
      <c r="B34" s="2">
        <v>22.2</v>
      </c>
      <c r="C34" s="2">
        <f t="shared" si="0"/>
        <v>-0.20733642060675878</v>
      </c>
      <c r="D34" s="2">
        <f t="shared" si="2"/>
        <v>1.0366821030337938</v>
      </c>
      <c r="E34" s="2">
        <f t="shared" si="1"/>
        <v>1.0366821030337938</v>
      </c>
      <c r="G34" s="12" t="s">
        <v>68</v>
      </c>
      <c r="H34" s="12">
        <f>C4</f>
        <v>5</v>
      </c>
      <c r="I34" s="12" t="s">
        <v>16</v>
      </c>
      <c r="J34" s="13" t="str">
        <f>TRIM(G34)&amp;"   "&amp;TRIM(H34)&amp;" "&amp;TRIM(I34)</f>
        <v>RF:   5 K</v>
      </c>
    </row>
    <row r="35" spans="2:10">
      <c r="B35" s="2">
        <v>23.2</v>
      </c>
      <c r="C35" s="2">
        <f t="shared" si="0"/>
        <v>-0.93520991519453889</v>
      </c>
      <c r="D35" s="2">
        <f t="shared" si="2"/>
        <v>4.6760495759726943</v>
      </c>
      <c r="E35" s="2">
        <f t="shared" si="1"/>
        <v>4.6760495759726943</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8733F0-035B-475C-8055-CF1F8692E33B}">
  <dimension ref="B1:AC101"/>
  <sheetViews>
    <sheetView zoomScale="85" zoomScaleNormal="85" workbookViewId="0">
      <selection activeCell="C3" sqref="C3"/>
    </sheetView>
  </sheetViews>
  <sheetFormatPr defaultColWidth="9.140625" defaultRowHeight="15"/>
  <cols>
    <col min="1" max="1" width="5.140625" style="2" customWidth="1"/>
    <col min="2" max="2" width="9.140625" style="2"/>
    <col min="3" max="3" width="13.140625" style="2" bestFit="1" customWidth="1"/>
    <col min="4" max="4" width="9.140625" style="2"/>
    <col min="5" max="5" width="11.85546875" style="2" customWidth="1"/>
    <col min="6" max="7" width="9.140625" style="2"/>
    <col min="8" max="8" width="11" style="2" customWidth="1"/>
    <col min="9" max="16384" width="9.140625" style="2"/>
  </cols>
  <sheetData>
    <row r="1" spans="2:29" ht="46.5">
      <c r="B1" s="1" t="s">
        <v>91</v>
      </c>
    </row>
    <row r="2" spans="2:29" ht="15.75" thickBot="1">
      <c r="B2" s="2" t="s">
        <v>42</v>
      </c>
      <c r="H2" s="6" t="s">
        <v>36</v>
      </c>
    </row>
    <row r="3" spans="2:29" ht="15.75" thickBot="1">
      <c r="B3" s="2" t="s">
        <v>12</v>
      </c>
      <c r="C3" s="4">
        <v>1</v>
      </c>
      <c r="D3" s="2" t="s">
        <v>16</v>
      </c>
      <c r="E3" s="33" t="s">
        <v>287</v>
      </c>
      <c r="F3" s="9">
        <f>2*PI()*C10</f>
        <v>4999.9703718942992</v>
      </c>
      <c r="H3" s="2" t="s">
        <v>9</v>
      </c>
      <c r="I3" s="4">
        <v>5</v>
      </c>
      <c r="J3" s="2" t="s">
        <v>18</v>
      </c>
      <c r="AC3"/>
    </row>
    <row r="4" spans="2:29" ht="15.75" thickBot="1">
      <c r="B4" s="2" t="s">
        <v>15</v>
      </c>
      <c r="C4" s="4">
        <v>2</v>
      </c>
      <c r="D4" s="2" t="s">
        <v>16</v>
      </c>
      <c r="E4" s="2" t="s">
        <v>291</v>
      </c>
      <c r="F4" s="9">
        <f>1/SQRT(1+(F3*C4*1000*C5*0.000001)^2)</f>
        <v>0.70710887621309659</v>
      </c>
      <c r="H4" s="2" t="s">
        <v>10</v>
      </c>
      <c r="I4" s="5">
        <v>-5</v>
      </c>
      <c r="J4" s="2" t="s">
        <v>19</v>
      </c>
    </row>
    <row r="5" spans="2:29" ht="15.75" thickBot="1">
      <c r="B5" s="2" t="s">
        <v>82</v>
      </c>
      <c r="C5" s="4">
        <v>0.1</v>
      </c>
      <c r="D5" s="2" t="s">
        <v>83</v>
      </c>
      <c r="E5" s="33" t="s">
        <v>288</v>
      </c>
      <c r="F5" s="9">
        <f>-ATAN(F3*C4*1000*C5*0.000001)</f>
        <v>-0.78539520057809997</v>
      </c>
      <c r="G5" s="2" t="s">
        <v>290</v>
      </c>
      <c r="H5" s="2" t="s">
        <v>31</v>
      </c>
      <c r="I5" s="4">
        <v>0</v>
      </c>
      <c r="J5" s="2" t="s">
        <v>32</v>
      </c>
    </row>
    <row r="6" spans="2:29">
      <c r="B6" s="2" t="s">
        <v>0</v>
      </c>
      <c r="C6" s="3">
        <v>0</v>
      </c>
      <c r="D6" s="2" t="s">
        <v>17</v>
      </c>
      <c r="E6" s="17" t="s">
        <v>286</v>
      </c>
      <c r="F6" s="9">
        <f>ABS(F5)/F3</f>
        <v>1.5707997091201633E-4</v>
      </c>
      <c r="G6" s="2" t="s">
        <v>289</v>
      </c>
    </row>
    <row r="7" spans="2:29">
      <c r="B7" s="2" t="s">
        <v>1</v>
      </c>
      <c r="C7" s="3">
        <f>-C4/C3</f>
        <v>-2</v>
      </c>
      <c r="D7" s="2" t="s">
        <v>39</v>
      </c>
      <c r="H7" s="6" t="s">
        <v>33</v>
      </c>
    </row>
    <row r="8" spans="2:29" ht="15.75" thickBot="1">
      <c r="B8" s="2" t="s">
        <v>97</v>
      </c>
      <c r="C8" s="3">
        <f>1/(2*PI()*C10*C5*0.000001)</f>
        <v>2000.0118513125069</v>
      </c>
      <c r="D8" s="2" t="s">
        <v>174</v>
      </c>
      <c r="H8" s="6"/>
    </row>
    <row r="9" spans="2:29" ht="15.75" thickBot="1">
      <c r="B9" s="2" t="s">
        <v>25</v>
      </c>
      <c r="C9" s="4">
        <v>1</v>
      </c>
      <c r="D9" s="2" t="s">
        <v>38</v>
      </c>
      <c r="H9" s="6" t="s">
        <v>29</v>
      </c>
      <c r="I9" s="4">
        <v>1</v>
      </c>
      <c r="J9" s="2" t="s">
        <v>17</v>
      </c>
    </row>
    <row r="10" spans="2:29" ht="15.75" thickBot="1">
      <c r="B10" s="2" t="s">
        <v>84</v>
      </c>
      <c r="C10" s="4">
        <v>795.77</v>
      </c>
      <c r="D10" s="2" t="s">
        <v>80</v>
      </c>
      <c r="H10" s="6" t="s">
        <v>34</v>
      </c>
      <c r="I10" s="3">
        <f>IF($C$7*I9/SQRT(1+($C$10/$C$12)^2)&gt;($I$3-$I$5),($I$3-$I$5),IF($C$7*I9/SQRT(1+($C$10/$C$12)^2)&lt;($I$4+$I$5),($I$4+$I$5),$C$7*I9/SQRT(1+($C$10/$C$12)^2)))</f>
        <v>-1.4142177524261932</v>
      </c>
      <c r="J10" s="2" t="s">
        <v>17</v>
      </c>
    </row>
    <row r="11" spans="2:29">
      <c r="B11" s="2" t="s">
        <v>87</v>
      </c>
      <c r="C11" s="3">
        <f>1/C10</f>
        <v>1.2566445078351785E-3</v>
      </c>
      <c r="D11" s="2" t="s">
        <v>86</v>
      </c>
    </row>
    <row r="12" spans="2:29" ht="15.75" thickBot="1">
      <c r="B12" s="2" t="s">
        <v>81</v>
      </c>
      <c r="C12" s="3">
        <f>1/(2*PI()*(C4*1000)*(C5*0.000001))</f>
        <v>795.77471545947685</v>
      </c>
      <c r="D12" s="2" t="s">
        <v>80</v>
      </c>
      <c r="H12" s="6" t="s">
        <v>103</v>
      </c>
    </row>
    <row r="13" spans="2:29" ht="15.75" thickBot="1">
      <c r="B13" s="2" t="s">
        <v>89</v>
      </c>
      <c r="C13" s="4">
        <v>4</v>
      </c>
      <c r="D13" s="2" t="s">
        <v>90</v>
      </c>
      <c r="H13" s="17" t="s">
        <v>104</v>
      </c>
      <c r="I13" s="3">
        <f>1000*(C4*1000)*(C5*0.000001)</f>
        <v>0.19999999999999998</v>
      </c>
      <c r="J13" s="2" t="s">
        <v>105</v>
      </c>
    </row>
    <row r="14" spans="2:29">
      <c r="B14" s="2" t="s">
        <v>88</v>
      </c>
      <c r="C14" s="3">
        <f>C11*C13/25</f>
        <v>2.0106312125362858E-4</v>
      </c>
      <c r="D14" s="2" t="s">
        <v>86</v>
      </c>
    </row>
    <row r="15" spans="2:29">
      <c r="E15" s="6" t="s">
        <v>30</v>
      </c>
    </row>
    <row r="16" spans="2:29">
      <c r="B16" s="7" t="s">
        <v>85</v>
      </c>
      <c r="C16" s="7" t="s">
        <v>7</v>
      </c>
      <c r="D16" s="7" t="s">
        <v>3</v>
      </c>
      <c r="E16" s="7" t="s">
        <v>3</v>
      </c>
      <c r="F16" s="28" t="s">
        <v>222</v>
      </c>
      <c r="G16" s="28"/>
    </row>
    <row r="17" spans="2:20">
      <c r="B17" s="2">
        <v>0</v>
      </c>
      <c r="C17" s="2">
        <f>$C$9*SIN($B17*$C$10*2*PI())</f>
        <v>0</v>
      </c>
      <c r="D17" s="2">
        <f>$C$7*$F$4*$C$9*SIN($F$3*B17+$F$5)</f>
        <v>0.99999999998244349</v>
      </c>
      <c r="E17" s="2">
        <f t="shared" ref="E17:E42" si="0">IF(D17&gt;($I$3-$I$5),($I$3-$I$5),IF(D17&lt;($I$4+$I$5),($I$4+$I$5),D17))</f>
        <v>0.99999999998244349</v>
      </c>
      <c r="F17" s="28">
        <f>C17*(-(1/SQRT((1/$C$8)^2+(1/($C$4*1000))^2))/($C$3*1000))</f>
        <v>0</v>
      </c>
      <c r="G17" s="28"/>
    </row>
    <row r="18" spans="2:20">
      <c r="B18" s="2">
        <f>B17+$C$14</f>
        <v>2.0106312125362858E-4</v>
      </c>
      <c r="C18" s="2">
        <f t="shared" ref="C18:C42" si="1">$C$9*SIN($B18*$C$10*2*PI())</f>
        <v>0.84432792550201508</v>
      </c>
      <c r="D18" s="2">
        <f t="shared" ref="D18:D42" si="2">$C$7*$F$4*$C$9*SIN($F$3*B18+$F$5)</f>
        <v>-0.30850613371465385</v>
      </c>
      <c r="E18" s="2">
        <f t="shared" si="0"/>
        <v>-0.30850613371465385</v>
      </c>
      <c r="F18" s="28">
        <f t="shared" ref="F18:F42" si="3">C18*(-(1/SQRT((1/$C$8)^2+(1/($C$4*1000))^2))/($C$3*1000))</f>
        <v>-1.1940635411141303</v>
      </c>
      <c r="G18" s="28"/>
    </row>
    <row r="19" spans="2:20">
      <c r="B19" s="2">
        <f t="shared" ref="B19:B42" si="4">B18+$C$14</f>
        <v>4.0212624250725716E-4</v>
      </c>
      <c r="C19" s="2">
        <f t="shared" si="1"/>
        <v>0.90482705246601947</v>
      </c>
      <c r="D19" s="2">
        <f t="shared" si="2"/>
        <v>-1.330611705701813</v>
      </c>
      <c r="E19" s="2">
        <f t="shared" si="0"/>
        <v>-1.330611705701813</v>
      </c>
      <c r="F19" s="28">
        <f t="shared" si="3"/>
        <v>-1.2796224804729115</v>
      </c>
      <c r="G19" s="28"/>
    </row>
    <row r="20" spans="2:20">
      <c r="B20" s="2">
        <f t="shared" si="4"/>
        <v>6.0318936376088574E-4</v>
      </c>
      <c r="C20" s="2">
        <f t="shared" si="1"/>
        <v>0.12533323356430409</v>
      </c>
      <c r="D20" s="2">
        <f t="shared" si="2"/>
        <v>-1.1174486775408226</v>
      </c>
      <c r="E20" s="2">
        <f t="shared" si="0"/>
        <v>-1.1174486775408226</v>
      </c>
      <c r="F20" s="28">
        <f t="shared" si="3"/>
        <v>-0.17724848387561729</v>
      </c>
      <c r="G20" s="28"/>
    </row>
    <row r="21" spans="2:20">
      <c r="B21" s="2">
        <f t="shared" si="4"/>
        <v>8.0425248501451432E-4</v>
      </c>
      <c r="C21" s="2">
        <f t="shared" si="1"/>
        <v>-0.77051324277578936</v>
      </c>
      <c r="D21" s="2">
        <f t="shared" si="2"/>
        <v>0.13309381882137816</v>
      </c>
      <c r="E21" s="2">
        <f t="shared" si="0"/>
        <v>0.13309381882137816</v>
      </c>
      <c r="F21" s="28">
        <f t="shared" si="3"/>
        <v>1.0896735064129948</v>
      </c>
      <c r="G21" s="28"/>
    </row>
    <row r="22" spans="2:20">
      <c r="B22" s="2">
        <f t="shared" si="4"/>
        <v>1.005315606268143E-3</v>
      </c>
      <c r="C22" s="2">
        <f t="shared" si="1"/>
        <v>-0.95105651629515331</v>
      </c>
      <c r="D22" s="2">
        <f t="shared" si="2"/>
        <v>1.2600791462819718</v>
      </c>
      <c r="E22" s="2">
        <f t="shared" si="0"/>
        <v>1.2600791462819718</v>
      </c>
      <c r="F22" s="28">
        <f t="shared" si="3"/>
        <v>1.3450010089052171</v>
      </c>
      <c r="G22" s="28"/>
    </row>
    <row r="23" spans="2:20">
      <c r="B23" s="2">
        <f t="shared" si="4"/>
        <v>1.2063787275217717E-3</v>
      </c>
      <c r="C23" s="2">
        <f t="shared" si="1"/>
        <v>-0.24868988716485363</v>
      </c>
      <c r="D23" s="2">
        <f t="shared" si="2"/>
        <v>1.2172745219228991</v>
      </c>
      <c r="E23" s="2">
        <f t="shared" si="0"/>
        <v>1.2172745219228991</v>
      </c>
      <c r="F23" s="28">
        <f t="shared" si="3"/>
        <v>0.35170165327740294</v>
      </c>
      <c r="G23" s="28"/>
    </row>
    <row r="24" spans="2:20">
      <c r="B24" s="2">
        <f t="shared" si="4"/>
        <v>1.4074418487754004E-3</v>
      </c>
      <c r="C24" s="2">
        <f t="shared" si="1"/>
        <v>0.68454710592868995</v>
      </c>
      <c r="D24" s="2">
        <f t="shared" si="2"/>
        <v>4.4417465101102019E-2</v>
      </c>
      <c r="E24" s="2">
        <f t="shared" si="0"/>
        <v>4.4417465101102019E-2</v>
      </c>
      <c r="F24" s="28">
        <f t="shared" si="3"/>
        <v>-0.96809866957632729</v>
      </c>
      <c r="G24" s="28"/>
    </row>
    <row r="25" spans="2:20">
      <c r="B25" s="2">
        <f t="shared" si="4"/>
        <v>1.6085049700290291E-3</v>
      </c>
      <c r="C25" s="2">
        <f t="shared" si="1"/>
        <v>0.98228725072868828</v>
      </c>
      <c r="D25" s="2">
        <f t="shared" si="2"/>
        <v>-1.1696743859904692</v>
      </c>
      <c r="E25" s="2">
        <f t="shared" si="0"/>
        <v>-1.1696743859904692</v>
      </c>
      <c r="F25" s="28">
        <f t="shared" si="3"/>
        <v>-1.3891680679624303</v>
      </c>
      <c r="G25" s="28"/>
    </row>
    <row r="26" spans="2:20">
      <c r="B26" s="2">
        <f t="shared" si="4"/>
        <v>1.8095680912826578E-3</v>
      </c>
      <c r="C26" s="2">
        <f t="shared" si="1"/>
        <v>0.36812455268467464</v>
      </c>
      <c r="D26" s="2">
        <f t="shared" si="2"/>
        <v>-1.2979032199296978</v>
      </c>
      <c r="E26" s="2">
        <f t="shared" si="0"/>
        <v>-1.2979032199296978</v>
      </c>
      <c r="F26" s="28">
        <f t="shared" si="3"/>
        <v>-0.52060827751061844</v>
      </c>
      <c r="G26" s="28"/>
    </row>
    <row r="27" spans="2:20">
      <c r="B27" s="2">
        <f t="shared" si="4"/>
        <v>2.0106312125362865E-3</v>
      </c>
      <c r="C27" s="2">
        <f t="shared" si="1"/>
        <v>-0.58778525229247569</v>
      </c>
      <c r="D27" s="2">
        <f t="shared" si="2"/>
        <v>-0.22122825906522905</v>
      </c>
      <c r="E27" s="2">
        <f t="shared" si="0"/>
        <v>-0.22122825906522905</v>
      </c>
      <c r="F27" s="28">
        <f t="shared" si="3"/>
        <v>0.83125633840632807</v>
      </c>
      <c r="G27" s="28"/>
    </row>
    <row r="28" spans="2:20">
      <c r="B28" s="2">
        <f t="shared" si="4"/>
        <v>2.2116943337899151E-3</v>
      </c>
      <c r="C28" s="2">
        <f t="shared" si="1"/>
        <v>-0.99802672842827123</v>
      </c>
      <c r="D28" s="2">
        <f t="shared" si="2"/>
        <v>1.0608231619022896</v>
      </c>
      <c r="E28" s="2">
        <f t="shared" si="0"/>
        <v>1.0608231619022896</v>
      </c>
      <c r="F28" s="28">
        <f t="shared" si="3"/>
        <v>1.4114271167390966</v>
      </c>
      <c r="G28" s="28"/>
    </row>
    <row r="29" spans="2:20">
      <c r="B29" s="2">
        <f t="shared" si="4"/>
        <v>2.4127574550435438E-3</v>
      </c>
      <c r="C29" s="2">
        <f t="shared" si="1"/>
        <v>-0.48175367410171166</v>
      </c>
      <c r="D29" s="2">
        <f t="shared" si="2"/>
        <v>1.3580632088284055</v>
      </c>
      <c r="E29" s="2">
        <f t="shared" si="0"/>
        <v>1.3580632088284055</v>
      </c>
      <c r="F29" s="28">
        <f t="shared" si="3"/>
        <v>0.6813045982111835</v>
      </c>
      <c r="G29" s="28"/>
    </row>
    <row r="30" spans="2:20">
      <c r="B30" s="2">
        <f t="shared" si="4"/>
        <v>2.6138205762971725E-3</v>
      </c>
      <c r="C30" s="2">
        <f t="shared" si="1"/>
        <v>0.4817536741017201</v>
      </c>
      <c r="D30" s="2">
        <f t="shared" si="2"/>
        <v>0.39455015122854142</v>
      </c>
      <c r="E30" s="2">
        <f t="shared" si="0"/>
        <v>0.39455015122854142</v>
      </c>
      <c r="F30" s="28">
        <f t="shared" si="3"/>
        <v>-0.68130459821119549</v>
      </c>
      <c r="G30" s="28"/>
    </row>
    <row r="31" spans="2:20">
      <c r="B31" s="2">
        <f t="shared" si="4"/>
        <v>2.8148836975508012E-3</v>
      </c>
      <c r="C31" s="2">
        <f t="shared" si="1"/>
        <v>0.998026728428272</v>
      </c>
      <c r="D31" s="2">
        <f t="shared" si="2"/>
        <v>-0.93524212284586894</v>
      </c>
      <c r="E31" s="2">
        <f t="shared" si="0"/>
        <v>-0.93524212284586894</v>
      </c>
      <c r="F31" s="28">
        <f t="shared" si="3"/>
        <v>-1.4114271167390977</v>
      </c>
      <c r="G31" s="28"/>
      <c r="T31" s="30" t="s">
        <v>221</v>
      </c>
    </row>
    <row r="32" spans="2:20">
      <c r="B32" s="2">
        <f t="shared" si="4"/>
        <v>3.0159468188044299E-3</v>
      </c>
      <c r="C32" s="2">
        <f t="shared" si="1"/>
        <v>0.58778525229246781</v>
      </c>
      <c r="D32" s="2">
        <f t="shared" si="2"/>
        <v>-1.3968057296562517</v>
      </c>
      <c r="E32" s="2">
        <f t="shared" si="0"/>
        <v>-1.3968057296562517</v>
      </c>
      <c r="F32" s="28">
        <f t="shared" si="3"/>
        <v>-0.83125633840631685</v>
      </c>
      <c r="G32" s="28"/>
    </row>
    <row r="33" spans="2:11">
      <c r="B33" s="2">
        <f t="shared" si="4"/>
        <v>3.2170099400580586E-3</v>
      </c>
      <c r="C33" s="2">
        <f t="shared" si="1"/>
        <v>-0.3681245526846853</v>
      </c>
      <c r="D33" s="2">
        <f t="shared" si="2"/>
        <v>-0.56164975181414412</v>
      </c>
      <c r="E33" s="2">
        <f t="shared" si="0"/>
        <v>-0.56164975181414412</v>
      </c>
      <c r="F33" s="28">
        <f t="shared" si="3"/>
        <v>0.52060827751063343</v>
      </c>
      <c r="G33" s="28"/>
    </row>
    <row r="34" spans="2:11">
      <c r="B34" s="2">
        <f t="shared" si="4"/>
        <v>3.4180730613116873E-3</v>
      </c>
      <c r="C34" s="2">
        <f t="shared" si="1"/>
        <v>-0.98228725072869039</v>
      </c>
      <c r="D34" s="2">
        <f t="shared" si="2"/>
        <v>0.79491175682560766</v>
      </c>
      <c r="E34" s="2">
        <f t="shared" si="0"/>
        <v>0.79491175682560766</v>
      </c>
      <c r="F34" s="28">
        <f t="shared" si="3"/>
        <v>1.3891680679624332</v>
      </c>
      <c r="G34" s="28"/>
    </row>
    <row r="35" spans="2:11">
      <c r="B35" s="2">
        <f t="shared" si="4"/>
        <v>3.619136182565316E-3</v>
      </c>
      <c r="C35" s="2">
        <f t="shared" si="1"/>
        <v>-0.68454710592868351</v>
      </c>
      <c r="D35" s="2">
        <f t="shared" si="2"/>
        <v>1.4135197897161222</v>
      </c>
      <c r="E35" s="2">
        <f t="shared" si="0"/>
        <v>1.4135197897161222</v>
      </c>
      <c r="F35" s="28">
        <f t="shared" si="3"/>
        <v>0.96809866957631818</v>
      </c>
      <c r="G35" s="28"/>
    </row>
    <row r="36" spans="2:11">
      <c r="B36" s="2">
        <f t="shared" si="4"/>
        <v>3.8201993038189446E-3</v>
      </c>
      <c r="C36" s="2">
        <f t="shared" si="1"/>
        <v>0.24868988716486301</v>
      </c>
      <c r="D36" s="2">
        <f t="shared" si="2"/>
        <v>0.71989180030034339</v>
      </c>
      <c r="E36" s="2">
        <f t="shared" si="0"/>
        <v>0.71989180030034339</v>
      </c>
      <c r="F36" s="28">
        <f t="shared" si="3"/>
        <v>-0.3517016532774162</v>
      </c>
      <c r="G36" s="28"/>
      <c r="H36" s="6" t="s">
        <v>65</v>
      </c>
    </row>
    <row r="37" spans="2:11">
      <c r="B37" s="2">
        <f t="shared" si="4"/>
        <v>4.0212624250725729E-3</v>
      </c>
      <c r="C37" s="2">
        <f t="shared" si="1"/>
        <v>0.95105651629515553</v>
      </c>
      <c r="D37" s="2">
        <f t="shared" si="2"/>
        <v>-0.64204515754293368</v>
      </c>
      <c r="E37" s="2">
        <f t="shared" si="0"/>
        <v>-0.64204515754293368</v>
      </c>
      <c r="F37" s="28">
        <f t="shared" si="3"/>
        <v>-1.3450010089052202</v>
      </c>
      <c r="G37" s="28"/>
      <c r="H37" s="12" t="s">
        <v>64</v>
      </c>
      <c r="I37" s="12">
        <f>I3</f>
        <v>5</v>
      </c>
      <c r="J37" s="12" t="s">
        <v>17</v>
      </c>
      <c r="K37" s="13" t="str">
        <f>TRIM(H37)&amp;"   "&amp;IF(I37&gt;0,"+","")&amp;TRIM(I37)&amp;" "&amp;TRIM(J37)</f>
        <v>V+:   +5 V</v>
      </c>
    </row>
    <row r="38" spans="2:11">
      <c r="B38" s="2">
        <f t="shared" si="4"/>
        <v>4.2223255463262012E-3</v>
      </c>
      <c r="C38" s="2">
        <f t="shared" si="1"/>
        <v>0.77051324277578437</v>
      </c>
      <c r="D38" s="2">
        <f t="shared" si="2"/>
        <v>-1.407941798296376</v>
      </c>
      <c r="E38" s="2">
        <f t="shared" si="0"/>
        <v>-1.407941798296376</v>
      </c>
      <c r="F38" s="28">
        <f t="shared" si="3"/>
        <v>-1.0896735064129877</v>
      </c>
      <c r="G38" s="28"/>
      <c r="H38" s="12" t="s">
        <v>66</v>
      </c>
      <c r="I38" s="12">
        <f>I4</f>
        <v>-5</v>
      </c>
      <c r="J38" s="12" t="s">
        <v>17</v>
      </c>
      <c r="K38" s="13" t="str">
        <f t="shared" ref="K38:K39" si="5">TRIM(H38)&amp;"   "&amp;IF(I38&gt;0,"+","")&amp;TRIM(I38)&amp;" "&amp;TRIM(J38)</f>
        <v>V-:   -5 V</v>
      </c>
    </row>
    <row r="39" spans="2:11">
      <c r="B39" s="2">
        <f t="shared" si="4"/>
        <v>4.4233886675798294E-3</v>
      </c>
      <c r="C39" s="2">
        <f t="shared" si="1"/>
        <v>-0.12533323356430973</v>
      </c>
      <c r="D39" s="2">
        <f t="shared" si="2"/>
        <v>-0.86678072505329173</v>
      </c>
      <c r="E39" s="2">
        <f t="shared" si="0"/>
        <v>-0.86678072505329173</v>
      </c>
      <c r="F39" s="28">
        <f t="shared" si="3"/>
        <v>0.17724848387562525</v>
      </c>
      <c r="G39" s="28"/>
      <c r="H39" s="12" t="s">
        <v>29</v>
      </c>
      <c r="I39" s="12">
        <f>I9</f>
        <v>1</v>
      </c>
      <c r="J39" s="12" t="s">
        <v>17</v>
      </c>
      <c r="K39" s="13" t="str">
        <f t="shared" si="5"/>
        <v>Vin:   +1 V</v>
      </c>
    </row>
    <row r="40" spans="2:11">
      <c r="B40" s="2">
        <f t="shared" si="4"/>
        <v>4.6244517888334577E-3</v>
      </c>
      <c r="C40" s="2">
        <f t="shared" si="1"/>
        <v>-0.90482705246602091</v>
      </c>
      <c r="D40" s="2">
        <f t="shared" si="2"/>
        <v>0.47905312258662103</v>
      </c>
      <c r="E40" s="2">
        <f t="shared" si="0"/>
        <v>0.47905312258662103</v>
      </c>
      <c r="F40" s="28">
        <f t="shared" si="3"/>
        <v>1.2796224804729135</v>
      </c>
      <c r="G40" s="28"/>
      <c r="H40" s="12" t="s">
        <v>67</v>
      </c>
      <c r="I40" s="12">
        <f>C3</f>
        <v>1</v>
      </c>
      <c r="J40" s="12" t="s">
        <v>16</v>
      </c>
      <c r="K40" s="13" t="str">
        <f>TRIM(H40)&amp;"   "&amp;TRIM(I40)&amp;" "&amp;TRIM(J40)</f>
        <v>R1:   1 K</v>
      </c>
    </row>
    <row r="41" spans="2:11">
      <c r="B41" s="2">
        <f t="shared" si="4"/>
        <v>4.8255149100870859E-3</v>
      </c>
      <c r="C41" s="2">
        <f t="shared" si="1"/>
        <v>-0.84432792550201441</v>
      </c>
      <c r="D41" s="2">
        <f t="shared" si="2"/>
        <v>1.3801597236538325</v>
      </c>
      <c r="E41" s="2">
        <f t="shared" si="0"/>
        <v>1.3801597236538325</v>
      </c>
      <c r="F41" s="28">
        <f t="shared" si="3"/>
        <v>1.1940635411141294</v>
      </c>
      <c r="G41" s="28"/>
      <c r="H41" s="12" t="s">
        <v>68</v>
      </c>
      <c r="I41" s="12">
        <f>C4</f>
        <v>2</v>
      </c>
      <c r="J41" s="12" t="s">
        <v>16</v>
      </c>
      <c r="K41" s="13" t="str">
        <f>TRIM(H41)&amp;"   "&amp;TRIM(I41)&amp;" "&amp;TRIM(J41)</f>
        <v>RF:   2 K</v>
      </c>
    </row>
    <row r="42" spans="2:11">
      <c r="B42" s="2">
        <f t="shared" si="4"/>
        <v>5.0265780313407142E-3</v>
      </c>
      <c r="C42" s="2">
        <f t="shared" si="1"/>
        <v>-9.8011876392689601E-16</v>
      </c>
      <c r="D42" s="2">
        <f t="shared" si="2"/>
        <v>0.99999999998244549</v>
      </c>
      <c r="E42" s="2">
        <f t="shared" si="0"/>
        <v>0.99999999998244549</v>
      </c>
      <c r="F42" s="28">
        <f t="shared" si="3"/>
        <v>1.3861013554314337E-15</v>
      </c>
      <c r="G42" s="28"/>
      <c r="H42" s="12" t="s">
        <v>100</v>
      </c>
      <c r="I42" s="12">
        <f>C5</f>
        <v>0.1</v>
      </c>
      <c r="J42" s="12" t="s">
        <v>83</v>
      </c>
      <c r="K42" s="13" t="str">
        <f>TRIM(H42)&amp;"   "&amp;TRIM(I42)&amp;" "&amp;TRIM(J42)</f>
        <v>C1:   0.1 uF</v>
      </c>
    </row>
    <row r="43" spans="2:11">
      <c r="H43" s="12" t="s">
        <v>101</v>
      </c>
      <c r="I43" s="12">
        <f>ROUND(C10,0)</f>
        <v>796</v>
      </c>
      <c r="J43" s="12" t="s">
        <v>80</v>
      </c>
      <c r="K43" s="13" t="str">
        <f>TRIM(H43)&amp;"   "&amp;TRIM(I43)&amp;" "&amp;TRIM(J43)</f>
        <v>f,signal:   796 Hz</v>
      </c>
    </row>
    <row r="44" spans="2:11">
      <c r="B44" s="6" t="s">
        <v>92</v>
      </c>
    </row>
    <row r="45" spans="2:11" ht="15.75">
      <c r="B45" s="14"/>
      <c r="C45" s="2" t="s">
        <v>95</v>
      </c>
    </row>
    <row r="46" spans="2:11">
      <c r="B46" s="7" t="s">
        <v>93</v>
      </c>
      <c r="C46" s="7" t="s">
        <v>94</v>
      </c>
      <c r="D46" s="7" t="s">
        <v>97</v>
      </c>
      <c r="E46" s="7" t="s">
        <v>218</v>
      </c>
    </row>
    <row r="47" spans="2:11">
      <c r="B47" s="2">
        <v>1</v>
      </c>
      <c r="C47" s="2">
        <f>20*LOG(-$C$7*(1/SQRT(1+(B47/$C$12)^2)))</f>
        <v>6.0205930551814717</v>
      </c>
      <c r="D47" s="2">
        <f t="shared" ref="D47:D78" si="6">1/(2*PI()*B47*$C$5*0.000001)</f>
        <v>1591549.4309189534</v>
      </c>
      <c r="E47" s="2">
        <f>20*LOG((1/SQRT((1/D47)^2+(1/($C$4*1000))^2))/($C$3*1000))</f>
        <v>6.0205930551814717</v>
      </c>
    </row>
    <row r="48" spans="2:11">
      <c r="B48" s="2">
        <v>2</v>
      </c>
      <c r="C48" s="2">
        <f t="shared" ref="C48:C101" si="7">20*LOG(-$C$7*(1/SQRT(1+(B48/$C$12)^2)))</f>
        <v>6.0205724809519898</v>
      </c>
      <c r="D48" s="2">
        <f t="shared" si="6"/>
        <v>795774.71545947669</v>
      </c>
      <c r="E48" s="2">
        <f t="shared" ref="E48:E101" si="8">20*LOG((1/SQRT((1/D48)^2+(1/($C$4*1000))^2))/($C$3*1000))</f>
        <v>6.0205724809519898</v>
      </c>
    </row>
    <row r="49" spans="2:5">
      <c r="B49" s="2">
        <v>3</v>
      </c>
      <c r="C49" s="2">
        <f t="shared" si="7"/>
        <v>6.0205381907861186</v>
      </c>
      <c r="D49" s="2">
        <f t="shared" si="6"/>
        <v>530516.4769729845</v>
      </c>
      <c r="E49" s="2">
        <f t="shared" si="8"/>
        <v>6.0205381907861186</v>
      </c>
    </row>
    <row r="50" spans="2:5">
      <c r="B50" s="2">
        <v>4</v>
      </c>
      <c r="C50" s="2">
        <f t="shared" si="7"/>
        <v>6.0204901850087387</v>
      </c>
      <c r="D50" s="2">
        <f t="shared" si="6"/>
        <v>397887.35772973835</v>
      </c>
      <c r="E50" s="2">
        <f t="shared" si="8"/>
        <v>6.0204901850087387</v>
      </c>
    </row>
    <row r="51" spans="2:5">
      <c r="B51" s="2">
        <v>5</v>
      </c>
      <c r="C51" s="2">
        <f t="shared" si="7"/>
        <v>6.0204284640746755</v>
      </c>
      <c r="D51" s="2">
        <f t="shared" si="6"/>
        <v>318309.88618379069</v>
      </c>
      <c r="E51" s="2">
        <f t="shared" si="8"/>
        <v>6.0204284640746755</v>
      </c>
    </row>
    <row r="52" spans="2:5">
      <c r="B52" s="2">
        <v>6</v>
      </c>
      <c r="C52" s="2">
        <f t="shared" si="7"/>
        <v>6.0203530285686764</v>
      </c>
      <c r="D52" s="2">
        <f t="shared" si="6"/>
        <v>265258.23848649225</v>
      </c>
      <c r="E52" s="2">
        <f t="shared" si="8"/>
        <v>6.0203530285686764</v>
      </c>
    </row>
    <row r="53" spans="2:5">
      <c r="B53" s="2">
        <v>7</v>
      </c>
      <c r="C53" s="2">
        <f t="shared" si="7"/>
        <v>6.0202638792053973</v>
      </c>
      <c r="D53" s="2">
        <f t="shared" si="6"/>
        <v>227364.20441699337</v>
      </c>
      <c r="E53" s="2">
        <f t="shared" si="8"/>
        <v>6.0202638792053982</v>
      </c>
    </row>
    <row r="54" spans="2:5">
      <c r="B54" s="2">
        <v>8</v>
      </c>
      <c r="C54" s="2">
        <f t="shared" si="7"/>
        <v>6.0201610168293831</v>
      </c>
      <c r="D54" s="2">
        <f t="shared" si="6"/>
        <v>198943.67886486917</v>
      </c>
      <c r="E54" s="2">
        <f t="shared" si="8"/>
        <v>6.0201610168293831</v>
      </c>
    </row>
    <row r="55" spans="2:5">
      <c r="B55" s="2">
        <v>9</v>
      </c>
      <c r="C55" s="2">
        <f t="shared" si="7"/>
        <v>6.0200444424150223</v>
      </c>
      <c r="D55" s="2">
        <f t="shared" si="6"/>
        <v>176838.82565766151</v>
      </c>
      <c r="E55" s="2">
        <f t="shared" si="8"/>
        <v>6.0200444424150232</v>
      </c>
    </row>
    <row r="56" spans="2:5">
      <c r="B56" s="2">
        <v>10</v>
      </c>
      <c r="C56" s="2">
        <f t="shared" si="7"/>
        <v>6.0199141570665464</v>
      </c>
      <c r="D56" s="2">
        <f t="shared" si="6"/>
        <v>159154.94309189534</v>
      </c>
      <c r="E56" s="2">
        <f t="shared" si="8"/>
        <v>6.0199141570665473</v>
      </c>
    </row>
    <row r="57" spans="2:5">
      <c r="B57" s="2">
        <v>20</v>
      </c>
      <c r="C57" s="2">
        <f t="shared" si="7"/>
        <v>6.0178575378784256</v>
      </c>
      <c r="D57" s="2">
        <f t="shared" si="6"/>
        <v>79577.471545947672</v>
      </c>
      <c r="E57" s="2">
        <f t="shared" si="8"/>
        <v>6.0178575378784256</v>
      </c>
    </row>
    <row r="58" spans="2:5">
      <c r="B58" s="2">
        <v>30</v>
      </c>
      <c r="C58" s="2">
        <f t="shared" si="7"/>
        <v>6.0144320020197917</v>
      </c>
      <c r="D58" s="2">
        <f t="shared" si="6"/>
        <v>53051.647697298446</v>
      </c>
      <c r="E58" s="2">
        <f t="shared" si="8"/>
        <v>6.0144320020197926</v>
      </c>
    </row>
    <row r="59" spans="2:5">
      <c r="B59" s="2">
        <v>40</v>
      </c>
      <c r="C59" s="2">
        <f t="shared" si="7"/>
        <v>6.0096407865156571</v>
      </c>
      <c r="D59" s="2">
        <f t="shared" si="6"/>
        <v>39788.735772973836</v>
      </c>
      <c r="E59" s="2">
        <f t="shared" si="8"/>
        <v>6.0096407865156571</v>
      </c>
    </row>
    <row r="60" spans="2:5">
      <c r="B60" s="2">
        <v>50</v>
      </c>
      <c r="C60" s="2">
        <f t="shared" si="7"/>
        <v>6.0034884089350413</v>
      </c>
      <c r="D60" s="2">
        <f t="shared" si="6"/>
        <v>31830.988618379066</v>
      </c>
      <c r="E60" s="2">
        <f t="shared" si="8"/>
        <v>6.0034884089350413</v>
      </c>
    </row>
    <row r="61" spans="2:5">
      <c r="B61" s="2">
        <v>60</v>
      </c>
      <c r="C61" s="2">
        <f t="shared" si="7"/>
        <v>5.9959806532379609</v>
      </c>
      <c r="D61" s="2">
        <f t="shared" si="6"/>
        <v>26525.823848649223</v>
      </c>
      <c r="E61" s="2">
        <f t="shared" si="8"/>
        <v>5.9959806532379591</v>
      </c>
    </row>
    <row r="62" spans="2:5">
      <c r="B62" s="2">
        <v>70</v>
      </c>
      <c r="C62" s="2">
        <f t="shared" si="7"/>
        <v>5.9871245517386464</v>
      </c>
      <c r="D62" s="2">
        <f t="shared" si="6"/>
        <v>22736.420441699334</v>
      </c>
      <c r="E62" s="2">
        <f t="shared" si="8"/>
        <v>5.9871245517386464</v>
      </c>
    </row>
    <row r="63" spans="2:5">
      <c r="B63" s="2">
        <v>80</v>
      </c>
      <c r="C63" s="2">
        <f t="shared" si="7"/>
        <v>5.9769283633025516</v>
      </c>
      <c r="D63" s="2">
        <f t="shared" si="6"/>
        <v>19894.367886486918</v>
      </c>
      <c r="E63" s="2">
        <f t="shared" si="8"/>
        <v>5.9769283633025516</v>
      </c>
    </row>
    <row r="64" spans="2:5">
      <c r="B64" s="2">
        <v>90</v>
      </c>
      <c r="C64" s="2">
        <f t="shared" si="7"/>
        <v>5.9654015479179803</v>
      </c>
      <c r="D64" s="2">
        <f t="shared" si="6"/>
        <v>17683.882565766147</v>
      </c>
      <c r="E64" s="2">
        <f t="shared" si="8"/>
        <v>5.9654015479179794</v>
      </c>
    </row>
    <row r="65" spans="2:5">
      <c r="B65" s="2">
        <v>100</v>
      </c>
      <c r="C65" s="2">
        <f t="shared" si="7"/>
        <v>5.9525547378051593</v>
      </c>
      <c r="D65" s="2">
        <f t="shared" si="6"/>
        <v>15915.494309189533</v>
      </c>
      <c r="E65" s="2">
        <f t="shared" si="8"/>
        <v>5.9525547378051602</v>
      </c>
    </row>
    <row r="66" spans="2:5">
      <c r="B66" s="2">
        <v>200</v>
      </c>
      <c r="C66" s="2">
        <f t="shared" si="7"/>
        <v>5.7545912913828703</v>
      </c>
      <c r="D66" s="2">
        <f t="shared" si="6"/>
        <v>7957.7471545947665</v>
      </c>
      <c r="E66" s="2">
        <f t="shared" si="8"/>
        <v>5.7545912913828676</v>
      </c>
    </row>
    <row r="67" spans="2:5">
      <c r="B67" s="2">
        <v>300</v>
      </c>
      <c r="C67" s="2">
        <f t="shared" si="7"/>
        <v>5.4434737880416701</v>
      </c>
      <c r="D67" s="2">
        <f t="shared" si="6"/>
        <v>5305.1647697298449</v>
      </c>
      <c r="E67" s="2">
        <f t="shared" si="8"/>
        <v>5.4434737880416701</v>
      </c>
    </row>
    <row r="68" spans="2:5">
      <c r="B68" s="2">
        <v>400</v>
      </c>
      <c r="C68" s="2">
        <f t="shared" si="7"/>
        <v>5.0422613234634319</v>
      </c>
      <c r="D68" s="2">
        <f t="shared" si="6"/>
        <v>3978.8735772973832</v>
      </c>
      <c r="E68" s="2">
        <f t="shared" si="8"/>
        <v>5.0422613234634319</v>
      </c>
    </row>
    <row r="69" spans="2:5">
      <c r="B69" s="2">
        <v>500</v>
      </c>
      <c r="C69" s="2">
        <f t="shared" si="7"/>
        <v>4.5755297970743385</v>
      </c>
      <c r="D69" s="2">
        <f t="shared" si="6"/>
        <v>3183.098861837907</v>
      </c>
      <c r="E69" s="2">
        <f t="shared" si="8"/>
        <v>4.5755297970743367</v>
      </c>
    </row>
    <row r="70" spans="2:5">
      <c r="B70" s="2">
        <v>600</v>
      </c>
      <c r="C70" s="2">
        <f t="shared" si="7"/>
        <v>4.0657845492623155</v>
      </c>
      <c r="D70" s="2">
        <f t="shared" si="6"/>
        <v>2652.5823848649225</v>
      </c>
      <c r="E70" s="2">
        <f t="shared" si="8"/>
        <v>4.0657845492623146</v>
      </c>
    </row>
    <row r="71" spans="2:5">
      <c r="B71" s="2">
        <v>700</v>
      </c>
      <c r="C71" s="2">
        <f t="shared" si="7"/>
        <v>3.5316097574915957</v>
      </c>
      <c r="D71" s="2">
        <f t="shared" si="6"/>
        <v>2273.6420441699333</v>
      </c>
      <c r="E71" s="2">
        <f t="shared" si="8"/>
        <v>3.5316097574915934</v>
      </c>
    </row>
    <row r="72" spans="2:5">
      <c r="B72" s="2">
        <v>800</v>
      </c>
      <c r="C72" s="2">
        <f t="shared" si="7"/>
        <v>2.9872405512982825</v>
      </c>
      <c r="D72" s="2">
        <f t="shared" si="6"/>
        <v>1989.4367886486916</v>
      </c>
      <c r="E72" s="2">
        <f t="shared" si="8"/>
        <v>2.9872405512982807</v>
      </c>
    </row>
    <row r="73" spans="2:5">
      <c r="B73" s="2">
        <v>900</v>
      </c>
      <c r="C73" s="2">
        <f t="shared" si="7"/>
        <v>2.4429647102606515</v>
      </c>
      <c r="D73" s="2">
        <f t="shared" si="6"/>
        <v>1768.388256576615</v>
      </c>
      <c r="E73" s="2">
        <f t="shared" si="8"/>
        <v>2.4429647102606515</v>
      </c>
    </row>
    <row r="74" spans="2:5">
      <c r="B74" s="2">
        <v>1000</v>
      </c>
      <c r="C74" s="2">
        <f t="shared" si="7"/>
        <v>1.9058562930049148</v>
      </c>
      <c r="D74" s="2">
        <f t="shared" si="6"/>
        <v>1591.5494309189535</v>
      </c>
      <c r="E74" s="2">
        <f t="shared" si="8"/>
        <v>1.9058562930049148</v>
      </c>
    </row>
    <row r="75" spans="2:5">
      <c r="B75" s="2">
        <v>2000</v>
      </c>
      <c r="C75" s="2">
        <f t="shared" si="7"/>
        <v>-2.6224616455237761</v>
      </c>
      <c r="D75" s="2">
        <f t="shared" si="6"/>
        <v>795.77471545947674</v>
      </c>
      <c r="E75" s="2">
        <f t="shared" si="8"/>
        <v>-2.6224616455237775</v>
      </c>
    </row>
    <row r="76" spans="2:5">
      <c r="B76" s="2">
        <v>3000</v>
      </c>
      <c r="C76" s="2">
        <f t="shared" si="7"/>
        <v>-5.8013290137645912</v>
      </c>
      <c r="D76" s="2">
        <f t="shared" si="6"/>
        <v>530.51647697298449</v>
      </c>
      <c r="E76" s="2">
        <f t="shared" si="8"/>
        <v>-5.8013290137645939</v>
      </c>
    </row>
    <row r="77" spans="2:5">
      <c r="B77" s="2">
        <v>4000</v>
      </c>
      <c r="C77" s="2">
        <f t="shared" si="7"/>
        <v>-8.1733704494618458</v>
      </c>
      <c r="D77" s="2">
        <f t="shared" si="6"/>
        <v>397.88735772973837</v>
      </c>
      <c r="E77" s="2">
        <f t="shared" si="8"/>
        <v>-8.1733704494618475</v>
      </c>
    </row>
    <row r="78" spans="2:5">
      <c r="B78" s="2">
        <v>5000</v>
      </c>
      <c r="C78" s="2">
        <f t="shared" si="7"/>
        <v>-10.051635352525894</v>
      </c>
      <c r="D78" s="2">
        <f t="shared" si="6"/>
        <v>318.30988618379064</v>
      </c>
      <c r="E78" s="2">
        <f t="shared" si="8"/>
        <v>-10.051635352525899</v>
      </c>
    </row>
    <row r="79" spans="2:5">
      <c r="B79" s="2">
        <v>6000</v>
      </c>
      <c r="C79" s="2">
        <f t="shared" si="7"/>
        <v>-11.602352741898672</v>
      </c>
      <c r="D79" s="2">
        <f t="shared" ref="D79:D101" si="9">1/(2*PI()*B79*$C$5*0.000001)</f>
        <v>265.25823848649225</v>
      </c>
      <c r="E79" s="2">
        <f t="shared" si="8"/>
        <v>-11.602352741898674</v>
      </c>
    </row>
    <row r="80" spans="2:5">
      <c r="B80" s="2">
        <v>7000</v>
      </c>
      <c r="C80" s="2">
        <f t="shared" si="7"/>
        <v>-12.921325153077019</v>
      </c>
      <c r="D80" s="2">
        <f t="shared" si="9"/>
        <v>227.36420441699337</v>
      </c>
      <c r="E80" s="2">
        <f t="shared" si="8"/>
        <v>-12.921325153077019</v>
      </c>
    </row>
    <row r="81" spans="2:20">
      <c r="B81" s="2">
        <v>8000</v>
      </c>
      <c r="C81" s="2">
        <f t="shared" si="7"/>
        <v>-14.068157808367296</v>
      </c>
      <c r="D81" s="2">
        <f t="shared" si="9"/>
        <v>198.94367886486918</v>
      </c>
      <c r="E81" s="2">
        <f t="shared" si="8"/>
        <v>-14.068157808367296</v>
      </c>
    </row>
    <row r="82" spans="2:20">
      <c r="B82" s="2">
        <v>9000</v>
      </c>
      <c r="C82" s="2">
        <f t="shared" si="7"/>
        <v>-15.082268631390789</v>
      </c>
      <c r="D82" s="2">
        <f t="shared" si="9"/>
        <v>176.83882565766146</v>
      </c>
      <c r="E82" s="2">
        <f t="shared" si="8"/>
        <v>-15.082268631390791</v>
      </c>
    </row>
    <row r="83" spans="2:20">
      <c r="B83" s="2">
        <v>10000</v>
      </c>
      <c r="C83" s="2">
        <f t="shared" si="7"/>
        <v>-15.991012673110438</v>
      </c>
      <c r="D83" s="2">
        <f t="shared" si="9"/>
        <v>159.15494309189532</v>
      </c>
      <c r="E83" s="2">
        <f t="shared" si="8"/>
        <v>-15.991012673110443</v>
      </c>
    </row>
    <row r="84" spans="2:20">
      <c r="B84" s="2">
        <v>20000</v>
      </c>
      <c r="C84" s="2">
        <f t="shared" si="7"/>
        <v>-21.991067348560698</v>
      </c>
      <c r="D84" s="2">
        <f t="shared" si="9"/>
        <v>79.57747154594766</v>
      </c>
      <c r="E84" s="2">
        <f t="shared" si="8"/>
        <v>-21.991067348560701</v>
      </c>
    </row>
    <row r="85" spans="2:20">
      <c r="B85" s="2">
        <v>30000</v>
      </c>
      <c r="C85" s="2">
        <f t="shared" si="7"/>
        <v>-25.509077166934134</v>
      </c>
      <c r="D85" s="2">
        <f t="shared" si="9"/>
        <v>53.051647697298449</v>
      </c>
      <c r="E85" s="2">
        <f t="shared" si="8"/>
        <v>-25.509077166934141</v>
      </c>
    </row>
    <row r="86" spans="2:20">
      <c r="B86" s="2">
        <v>40000</v>
      </c>
      <c r="C86" s="2">
        <f t="shared" si="7"/>
        <v>-28.006515729867019</v>
      </c>
      <c r="D86" s="2">
        <f t="shared" si="9"/>
        <v>39.78873577297383</v>
      </c>
      <c r="E86" s="2">
        <f t="shared" si="8"/>
        <v>-28.006515729867022</v>
      </c>
    </row>
    <row r="87" spans="2:20">
      <c r="B87" s="2">
        <v>50000</v>
      </c>
      <c r="C87" s="2">
        <f t="shared" si="7"/>
        <v>-29.944097395353239</v>
      </c>
      <c r="D87" s="2">
        <f t="shared" si="9"/>
        <v>31.830988618379067</v>
      </c>
      <c r="E87" s="2">
        <f t="shared" si="8"/>
        <v>-29.944097395353239</v>
      </c>
    </row>
    <row r="88" spans="2:20">
      <c r="B88" s="2">
        <v>60000</v>
      </c>
      <c r="C88" s="2">
        <f t="shared" si="7"/>
        <v>-31.527386252634116</v>
      </c>
      <c r="D88" s="2">
        <f t="shared" si="9"/>
        <v>26.525823848649225</v>
      </c>
      <c r="E88" s="2">
        <f t="shared" si="8"/>
        <v>-31.527386252634116</v>
      </c>
    </row>
    <row r="89" spans="2:20">
      <c r="B89" s="2">
        <v>70000</v>
      </c>
      <c r="C89" s="2">
        <f t="shared" si="7"/>
        <v>-32.866119396883605</v>
      </c>
      <c r="D89" s="2">
        <f t="shared" si="9"/>
        <v>22.736420441699334</v>
      </c>
      <c r="E89" s="2">
        <f t="shared" si="8"/>
        <v>-32.866119396883605</v>
      </c>
    </row>
    <row r="90" spans="2:20">
      <c r="B90" s="2">
        <v>80000</v>
      </c>
      <c r="C90" s="2">
        <f t="shared" si="7"/>
        <v>-34.025826804795287</v>
      </c>
      <c r="D90" s="2">
        <f t="shared" si="9"/>
        <v>19.894367886486915</v>
      </c>
      <c r="E90" s="2">
        <f t="shared" si="8"/>
        <v>-34.025826804795287</v>
      </c>
      <c r="T90" s="2" t="s">
        <v>293</v>
      </c>
    </row>
    <row r="91" spans="2:20">
      <c r="B91" s="2">
        <v>90000</v>
      </c>
      <c r="C91" s="2">
        <f t="shared" si="7"/>
        <v>-35.048787073780282</v>
      </c>
      <c r="D91" s="2">
        <f t="shared" si="9"/>
        <v>17.683882565766147</v>
      </c>
      <c r="E91" s="2">
        <f t="shared" si="8"/>
        <v>-35.048787073780289</v>
      </c>
      <c r="T91" s="2" t="s">
        <v>294</v>
      </c>
    </row>
    <row r="92" spans="2:20">
      <c r="B92" s="2">
        <v>100000</v>
      </c>
      <c r="C92" s="2">
        <f t="shared" si="7"/>
        <v>-35.963872378648212</v>
      </c>
      <c r="D92" s="2">
        <f t="shared" si="9"/>
        <v>15.915494309189533</v>
      </c>
      <c r="E92" s="2">
        <f t="shared" si="8"/>
        <v>-35.963872378648212</v>
      </c>
    </row>
    <row r="93" spans="2:20">
      <c r="B93" s="2">
        <v>200000</v>
      </c>
      <c r="C93" s="2">
        <f t="shared" si="7"/>
        <v>-41.984266034946046</v>
      </c>
      <c r="D93" s="2">
        <f t="shared" si="9"/>
        <v>7.9577471545947667</v>
      </c>
      <c r="E93" s="2">
        <f t="shared" si="8"/>
        <v>-41.984266034946046</v>
      </c>
    </row>
    <row r="94" spans="2:20">
      <c r="B94" s="2">
        <v>300000</v>
      </c>
      <c r="C94" s="2">
        <f t="shared" si="7"/>
        <v>-45.506053019247318</v>
      </c>
      <c r="D94" s="2">
        <f t="shared" si="9"/>
        <v>5.3051647697298447</v>
      </c>
      <c r="E94" s="2">
        <f t="shared" si="8"/>
        <v>-45.506053019247325</v>
      </c>
    </row>
    <row r="95" spans="2:20">
      <c r="B95" s="2">
        <v>400000</v>
      </c>
      <c r="C95" s="2">
        <f t="shared" si="7"/>
        <v>-48.004814382449624</v>
      </c>
      <c r="D95" s="2">
        <f t="shared" si="9"/>
        <v>3.9788735772973833</v>
      </c>
      <c r="E95" s="2">
        <f t="shared" si="8"/>
        <v>-48.004814382449624</v>
      </c>
    </row>
    <row r="96" spans="2:20">
      <c r="B96" s="2">
        <v>500000</v>
      </c>
      <c r="C96" s="2">
        <f t="shared" si="7"/>
        <v>-49.94300845467648</v>
      </c>
      <c r="D96" s="2">
        <f t="shared" si="9"/>
        <v>3.1830988618379075</v>
      </c>
      <c r="E96" s="2">
        <f t="shared" si="8"/>
        <v>-49.94300845467648</v>
      </c>
    </row>
    <row r="97" spans="2:5">
      <c r="B97" s="2">
        <v>600000</v>
      </c>
      <c r="C97" s="2">
        <f t="shared" si="7"/>
        <v>-51.526630014278268</v>
      </c>
      <c r="D97" s="2">
        <f t="shared" si="9"/>
        <v>2.6525823848649224</v>
      </c>
      <c r="E97" s="2">
        <f t="shared" si="8"/>
        <v>-51.526630014278268</v>
      </c>
    </row>
    <row r="98" spans="2:5">
      <c r="B98" s="2">
        <v>700000</v>
      </c>
      <c r="C98" s="2">
        <f t="shared" si="7"/>
        <v>-52.865563780100821</v>
      </c>
      <c r="D98" s="2">
        <f t="shared" si="9"/>
        <v>2.2736420441699337</v>
      </c>
      <c r="E98" s="2">
        <f t="shared" si="8"/>
        <v>-52.865563780100821</v>
      </c>
    </row>
    <row r="99" spans="2:5">
      <c r="B99" s="2">
        <v>800000</v>
      </c>
      <c r="C99" s="2">
        <f t="shared" si="7"/>
        <v>-54.025401404189566</v>
      </c>
      <c r="D99" s="2">
        <f t="shared" si="9"/>
        <v>1.9894367886486917</v>
      </c>
      <c r="E99" s="2">
        <f t="shared" si="8"/>
        <v>-54.025401404189566</v>
      </c>
    </row>
    <row r="100" spans="2:5">
      <c r="B100" s="2">
        <v>900000</v>
      </c>
      <c r="C100" s="2">
        <f t="shared" si="7"/>
        <v>-55.048450951258502</v>
      </c>
      <c r="D100" s="2">
        <f t="shared" si="9"/>
        <v>1.7683882565766149</v>
      </c>
      <c r="E100" s="2">
        <f t="shared" si="8"/>
        <v>-55.048450951258502</v>
      </c>
    </row>
    <row r="101" spans="2:5">
      <c r="B101" s="2">
        <v>1000000</v>
      </c>
      <c r="C101" s="2">
        <f t="shared" si="7"/>
        <v>-55.963600117363363</v>
      </c>
      <c r="D101" s="2">
        <f t="shared" si="9"/>
        <v>1.5915494309189537</v>
      </c>
      <c r="E101" s="2">
        <f t="shared" si="8"/>
        <v>-55.963600117363363</v>
      </c>
    </row>
  </sheetData>
  <hyperlinks>
    <hyperlink ref="T31" r:id="rId1" xr:uid="{D945DD9A-8D5E-4591-8DE6-6DD00A3EDCD0}"/>
  </hyperlinks>
  <pageMargins left="0.7" right="0.7" top="0.75" bottom="0.75" header="0.3" footer="0.3"/>
  <pageSetup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34</vt:i4>
      </vt:variant>
    </vt:vector>
  </HeadingPairs>
  <TitlesOfParts>
    <vt:vector size="34" baseType="lpstr">
      <vt:lpstr>Signal Generator</vt:lpstr>
      <vt:lpstr>Comparator</vt:lpstr>
      <vt:lpstr>Buffer</vt:lpstr>
      <vt:lpstr>Attenuator</vt:lpstr>
      <vt:lpstr>Unity LPF</vt:lpstr>
      <vt:lpstr>Unity HPF</vt:lpstr>
      <vt:lpstr>Unity BPF</vt:lpstr>
      <vt:lpstr>Inv</vt:lpstr>
      <vt:lpstr>Inv LPF</vt:lpstr>
      <vt:lpstr>Inv HPF</vt:lpstr>
      <vt:lpstr>InvAmp-BAD</vt:lpstr>
      <vt:lpstr>Inv+Bias</vt:lpstr>
      <vt:lpstr>Inv+Bias Vhalf</vt:lpstr>
      <vt:lpstr>Inv+Bias - Calculate R</vt:lpstr>
      <vt:lpstr>Inv+Bias LPF</vt:lpstr>
      <vt:lpstr>Inv+Bias HPF (AC Amp)</vt:lpstr>
      <vt:lpstr>NonInv</vt:lpstr>
      <vt:lpstr>NonInv CMC</vt:lpstr>
      <vt:lpstr>NonInv Thermocouple</vt:lpstr>
      <vt:lpstr>NonInv LPF</vt:lpstr>
      <vt:lpstr>NonInv LPF2</vt:lpstr>
      <vt:lpstr>NonInv HPF1</vt:lpstr>
      <vt:lpstr>NonInv HPF2</vt:lpstr>
      <vt:lpstr>NonInv+Bias</vt:lpstr>
      <vt:lpstr>NonInv+Bias Vhalf</vt:lpstr>
      <vt:lpstr>NonInv+Bias - Calculate R</vt:lpstr>
      <vt:lpstr>Diff</vt:lpstr>
      <vt:lpstr>Sum Inv</vt:lpstr>
      <vt:lpstr>Sum Inv - 3 inputs</vt:lpstr>
      <vt:lpstr>Sum Non-Inv</vt:lpstr>
      <vt:lpstr>Sum Non-Inv - Calculate R</vt:lpstr>
      <vt:lpstr>Transimpedance</vt:lpstr>
      <vt:lpstr>Transimpedance + Bias</vt:lpstr>
      <vt:lpstr>Op-Amps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Dubins</dc:creator>
  <cp:lastModifiedBy>David Dubins</cp:lastModifiedBy>
  <dcterms:created xsi:type="dcterms:W3CDTF">2019-10-24T19:55:34Z</dcterms:created>
  <dcterms:modified xsi:type="dcterms:W3CDTF">2025-11-12T04:03:13Z</dcterms:modified>
</cp:coreProperties>
</file>